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330" windowHeight="6735" activeTab="0"/>
  </bookViews>
  <sheets>
    <sheet name="SOPA" sheetId="1" r:id="rId1"/>
    <sheet name="Prótese 2008" sheetId="2" r:id="rId2"/>
    <sheet name="Odontologia II" sheetId="3" r:id="rId3"/>
    <sheet name="Distribuição" sheetId="4" r:id="rId4"/>
    <sheet name="Distrib.II" sheetId="5" r:id="rId5"/>
    <sheet name="Material Doado" sheetId="6" r:id="rId6"/>
    <sheet name="Lanches 2ª" sheetId="7" r:id="rId7"/>
    <sheet name="Lanches 4ª" sheetId="8" r:id="rId8"/>
    <sheet name="Lanches 5ª" sheetId="9" r:id="rId9"/>
    <sheet name="Lanches Sáb. Praoge" sheetId="10" r:id="rId10"/>
    <sheet name="Lanches Sáb. Triagem" sheetId="11" r:id="rId11"/>
    <sheet name="Lanches Evangelização" sheetId="12" r:id="rId12"/>
    <sheet name="Lanches Consolidado" sheetId="13" r:id="rId13"/>
    <sheet name="Arrec. e Dist. de Verduras" sheetId="14" r:id="rId14"/>
    <sheet name="Despensa" sheetId="15" r:id="rId15"/>
  </sheets>
  <definedNames>
    <definedName name="_xlnm.Print_Area" localSheetId="14">'Despensa'!$A$1:$J$149</definedName>
  </definedNames>
  <calcPr fullCalcOnLoad="1"/>
</workbook>
</file>

<file path=xl/sharedStrings.xml><?xml version="1.0" encoding="utf-8"?>
<sst xmlns="http://schemas.openxmlformats.org/spreadsheetml/2006/main" count="1293" uniqueCount="337">
  <si>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</si>
  <si>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</si>
  <si>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</si>
  <si>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</si>
  <si>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</si>
  <si>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</si>
  <si>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</si>
  <si>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</si>
  <si>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</si>
  <si>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NOV</t>
  </si>
  <si>
    <t>DEZ</t>
  </si>
  <si>
    <t>TOTAL</t>
  </si>
  <si>
    <t>ABR</t>
  </si>
  <si>
    <t>MAI</t>
  </si>
  <si>
    <t>REALIZADOS</t>
  </si>
  <si>
    <t>CRIANÇAS</t>
  </si>
  <si>
    <t>ATENDIDAS</t>
  </si>
  <si>
    <t>SUB-TOTAL</t>
  </si>
  <si>
    <t>JAN.</t>
  </si>
  <si>
    <t>ATENDIMENTOS</t>
  </si>
  <si>
    <t xml:space="preserve">TRABALHOS E </t>
  </si>
  <si>
    <t xml:space="preserve">TRABALHOS </t>
  </si>
  <si>
    <t>ADULTOS</t>
  </si>
  <si>
    <t>ATENDIDOS</t>
  </si>
  <si>
    <t xml:space="preserve"> DISTRIBUIDOS</t>
  </si>
  <si>
    <t>TOTAL DE PRATOS</t>
  </si>
  <si>
    <t>DESPENSA</t>
  </si>
  <si>
    <t>ITENS</t>
  </si>
  <si>
    <t>ENTRADA</t>
  </si>
  <si>
    <t>ARROZ</t>
  </si>
  <si>
    <t>FEIJÃO</t>
  </si>
  <si>
    <t>MACARRÃO</t>
  </si>
  <si>
    <t>CREME DENTAL</t>
  </si>
  <si>
    <t>ÓLEO</t>
  </si>
  <si>
    <t>SABÃO EM BARRA</t>
  </si>
  <si>
    <t>SABONETE</t>
  </si>
  <si>
    <t>SAÍDA</t>
  </si>
  <si>
    <t>CESTA DE NATAL</t>
  </si>
  <si>
    <t>TOTAL DE CESTAS</t>
  </si>
  <si>
    <t>SAPATARIA</t>
  </si>
  <si>
    <t>ENTRADAS</t>
  </si>
  <si>
    <t>SAPATOS USADOS</t>
  </si>
  <si>
    <t>SAÍDAS</t>
  </si>
  <si>
    <t>ROUPARIA</t>
  </si>
  <si>
    <t>COBERTORES NOVOS</t>
  </si>
  <si>
    <t>***ROUPAS TIPO 3</t>
  </si>
  <si>
    <t>*ROUPAS TIPO 1</t>
  </si>
  <si>
    <t>BOLSAS</t>
  </si>
  <si>
    <t>CINTOS</t>
  </si>
  <si>
    <t>BONÉS</t>
  </si>
  <si>
    <t>BIJOUTERIAS</t>
  </si>
  <si>
    <t>DIVERSOS</t>
  </si>
  <si>
    <t>DIV.PEQ.VALOR</t>
  </si>
  <si>
    <t>UTENS. DE COZINHA</t>
  </si>
  <si>
    <t>PESSOAS ATENDIDAS</t>
  </si>
  <si>
    <t>TRABALHADORES</t>
  </si>
  <si>
    <t>FAMÍLIAS ATENDIDAS</t>
  </si>
  <si>
    <t>ANEXO  1</t>
  </si>
  <si>
    <t>MILHARINA</t>
  </si>
  <si>
    <t>SARDINHA</t>
  </si>
  <si>
    <t>GOIABADA</t>
  </si>
  <si>
    <t>EXTRATO TOMATE</t>
  </si>
  <si>
    <t>FARINHA MANDIOCA</t>
  </si>
  <si>
    <t>Aparelho de som</t>
  </si>
  <si>
    <t>Armário de cozinha</t>
  </si>
  <si>
    <t>Beliche</t>
  </si>
  <si>
    <t>Estante</t>
  </si>
  <si>
    <t>Geladeira</t>
  </si>
  <si>
    <t>BAZAR DE UTENSÍLIOS</t>
  </si>
  <si>
    <t>BAZAR</t>
  </si>
  <si>
    <t>BRINQUEDOS E BOMBONS</t>
  </si>
  <si>
    <t>BRINQUEDOS</t>
  </si>
  <si>
    <t>ITENS RECUPERADOS SEM CUSTOS PELO PRÓPRIO GRUPO</t>
  </si>
  <si>
    <t>Descrição</t>
  </si>
  <si>
    <t xml:space="preserve">Anda já </t>
  </si>
  <si>
    <t>Armário para banheiro</t>
  </si>
  <si>
    <t xml:space="preserve">Armário para sala </t>
  </si>
  <si>
    <t>Balanço para crianças</t>
  </si>
  <si>
    <t>Bancos em madeira</t>
  </si>
  <si>
    <t>Berços CEFAK</t>
  </si>
  <si>
    <t>Berços de doações externas</t>
  </si>
  <si>
    <t>Bicama</t>
  </si>
  <si>
    <t xml:space="preserve">Bicicletas </t>
  </si>
  <si>
    <t xml:space="preserve">Botijões </t>
  </si>
  <si>
    <t xml:space="preserve">Cadeiras de bar </t>
  </si>
  <si>
    <t>Cadeiras de rodas</t>
  </si>
  <si>
    <t xml:space="preserve">Cadeiras estofadas para sala </t>
  </si>
  <si>
    <t>Cadeiras para cabeleireira</t>
  </si>
  <si>
    <t>Cadeiras para escritório</t>
  </si>
  <si>
    <t>Caixa com revistas</t>
  </si>
  <si>
    <t>Cama de solteiro</t>
  </si>
  <si>
    <t>Carrinho de bebê</t>
  </si>
  <si>
    <t>Carrinho de sala  (servir chá)</t>
  </si>
  <si>
    <t>Colchão para berço</t>
  </si>
  <si>
    <t>Colchão para casal</t>
  </si>
  <si>
    <t xml:space="preserve">Colchão para solteiro </t>
  </si>
  <si>
    <t xml:space="preserve">Cômoda </t>
  </si>
  <si>
    <t>Computador</t>
  </si>
  <si>
    <t xml:space="preserve">Cortador de grama </t>
  </si>
  <si>
    <t xml:space="preserve">Criado mudo </t>
  </si>
  <si>
    <t>Enceradeira  profissional</t>
  </si>
  <si>
    <t xml:space="preserve">Escrivaninha </t>
  </si>
  <si>
    <t xml:space="preserve">Ferramentas </t>
  </si>
  <si>
    <t>Ferro de passar roupa</t>
  </si>
  <si>
    <t>Filtro comum</t>
  </si>
  <si>
    <t xml:space="preserve">Filtro Europa </t>
  </si>
  <si>
    <t xml:space="preserve">Fruteira </t>
  </si>
  <si>
    <t xml:space="preserve">Guarda roupas </t>
  </si>
  <si>
    <t xml:space="preserve">Impressoras </t>
  </si>
  <si>
    <t xml:space="preserve">Lava jato </t>
  </si>
  <si>
    <t>Máquina de costura</t>
  </si>
  <si>
    <t>Máquina de lavar louça</t>
  </si>
  <si>
    <t xml:space="preserve">Máquina de lavar roupas </t>
  </si>
  <si>
    <t xml:space="preserve">Mesa de centro </t>
  </si>
  <si>
    <t xml:space="preserve">Mesa de escritório </t>
  </si>
  <si>
    <t xml:space="preserve">Mesa para sala </t>
  </si>
  <si>
    <t xml:space="preserve">Microondas </t>
  </si>
  <si>
    <t xml:space="preserve">Monitor para PC </t>
  </si>
  <si>
    <t xml:space="preserve">Pia para cozinha </t>
  </si>
  <si>
    <t xml:space="preserve">Poltrona </t>
  </si>
  <si>
    <t xml:space="preserve">Prateleiras </t>
  </si>
  <si>
    <t>Quadro de arte</t>
  </si>
  <si>
    <t xml:space="preserve">Rack </t>
  </si>
  <si>
    <t xml:space="preserve">Retroprojetor </t>
  </si>
  <si>
    <t xml:space="preserve">Sofá – cama </t>
  </si>
  <si>
    <t xml:space="preserve">Som com caixas pequenas </t>
  </si>
  <si>
    <t>Tanque granito lavar roupas</t>
  </si>
  <si>
    <t xml:space="preserve">Tanquinho para lavar roupas </t>
  </si>
  <si>
    <t xml:space="preserve">Tapetes </t>
  </si>
  <si>
    <t>Televisores</t>
  </si>
  <si>
    <t xml:space="preserve">Ventilador </t>
  </si>
  <si>
    <t>TOTAL CESTA BÁSICA</t>
  </si>
  <si>
    <t>Almofada de Sofá</t>
  </si>
  <si>
    <t>Telhas coloniais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</si>
  <si>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</si>
  <si>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</si>
  <si>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</si>
  <si>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</si>
  <si>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</si>
  <si>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</si>
  <si>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</si>
  <si>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</si>
  <si>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</si>
  <si>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</si>
  <si>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</si>
  <si>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</si>
  <si>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</si>
  <si>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Cama de casal (fabric. por doador)</t>
  </si>
  <si>
    <t xml:space="preserve">Cama de casal </t>
  </si>
  <si>
    <t xml:space="preserve"> </t>
  </si>
  <si>
    <t>Cama de solteiro (fab.por doador)</t>
  </si>
  <si>
    <t>* ROUPAS TIPO 1 e 2 e 3</t>
  </si>
  <si>
    <t>*ROUPAS TIPO 2</t>
  </si>
  <si>
    <t>ESTOQUE</t>
  </si>
  <si>
    <t>TRABALHOS REALIZADOS</t>
  </si>
  <si>
    <t>SAL</t>
  </si>
  <si>
    <t>18Kgs</t>
  </si>
  <si>
    <t>30Kgs</t>
  </si>
  <si>
    <t>36Kgs</t>
  </si>
  <si>
    <t>QTD.</t>
  </si>
  <si>
    <t>BAZAR DE UTENSÍLIOS - ATENDIMENTOS DURANTE O ANO DE 2008</t>
  </si>
  <si>
    <t>ESTATÍSTICA MENSAL DA SOPA - 2008</t>
  </si>
  <si>
    <t>2ªs Feiras</t>
  </si>
  <si>
    <t>5ªs Feiras</t>
  </si>
  <si>
    <r>
      <t>Lanches doados pelos voluntários nas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2ªs</t>
    </r>
    <r>
      <rPr>
        <sz val="16"/>
        <rFont val="Arial"/>
        <family val="2"/>
      </rPr>
      <t xml:space="preserve"> Feiras</t>
    </r>
  </si>
  <si>
    <t>ÍTENS</t>
  </si>
  <si>
    <t>MESES</t>
  </si>
  <si>
    <t>Medida</t>
  </si>
  <si>
    <t>Unidade</t>
  </si>
  <si>
    <t xml:space="preserve">Março </t>
  </si>
  <si>
    <t xml:space="preserve">Julho </t>
  </si>
  <si>
    <t xml:space="preserve">Outubro </t>
  </si>
  <si>
    <t>Achocolatado</t>
  </si>
  <si>
    <t>Kg.</t>
  </si>
  <si>
    <t>Bolo</t>
  </si>
  <si>
    <t>Canjica</t>
  </si>
  <si>
    <t>Chá</t>
  </si>
  <si>
    <t>Fruta</t>
  </si>
  <si>
    <t>Leite</t>
  </si>
  <si>
    <t>Litro</t>
  </si>
  <si>
    <t>Litros</t>
  </si>
  <si>
    <t>Leite Condensado</t>
  </si>
  <si>
    <t>Lata</t>
  </si>
  <si>
    <t>Leite de Coco</t>
  </si>
  <si>
    <t>Pacote</t>
  </si>
  <si>
    <t>Pacotes</t>
  </si>
  <si>
    <t>Manteiga</t>
  </si>
  <si>
    <t>Margarina</t>
  </si>
  <si>
    <r>
      <t>27.5</t>
    </r>
    <r>
      <rPr>
        <sz val="10"/>
        <rFont val="Arial"/>
        <family val="2"/>
      </rPr>
      <t xml:space="preserve"> </t>
    </r>
  </si>
  <si>
    <t>Mortadela</t>
  </si>
  <si>
    <t>Pão de Queijo</t>
  </si>
  <si>
    <t>Unidades</t>
  </si>
  <si>
    <t>Pão Doce</t>
  </si>
  <si>
    <t>Pão Francês</t>
  </si>
  <si>
    <t>Pomarola</t>
  </si>
  <si>
    <t>Caixa</t>
  </si>
  <si>
    <t>Caixas</t>
  </si>
  <si>
    <t>Presunto</t>
  </si>
  <si>
    <t>Queijo</t>
  </si>
  <si>
    <t>Refrigerante</t>
  </si>
  <si>
    <t>Salsicha</t>
  </si>
  <si>
    <t>Suco em Pó</t>
  </si>
  <si>
    <t>Torta Salgada</t>
  </si>
  <si>
    <t>Vitamina</t>
  </si>
  <si>
    <t>Café</t>
  </si>
  <si>
    <t>Coco ralado</t>
  </si>
  <si>
    <t>Salgados</t>
  </si>
  <si>
    <r>
      <t>Lanches doados pelos voluntários nas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4ªs</t>
    </r>
    <r>
      <rPr>
        <sz val="16"/>
        <rFont val="Arial"/>
        <family val="2"/>
      </rPr>
      <t xml:space="preserve"> Feiras</t>
    </r>
  </si>
  <si>
    <r>
      <t>7.5</t>
    </r>
    <r>
      <rPr>
        <sz val="10"/>
        <rFont val="Arial"/>
        <family val="2"/>
      </rPr>
      <t xml:space="preserve"> </t>
    </r>
  </si>
  <si>
    <t>Coco Ralado</t>
  </si>
  <si>
    <r>
      <t>Lanches doados pelos voluntários nas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>5ªs</t>
    </r>
    <r>
      <rPr>
        <sz val="16"/>
        <rFont val="Arial"/>
        <family val="2"/>
      </rPr>
      <t xml:space="preserve"> Feiras</t>
    </r>
  </si>
  <si>
    <r>
      <t>1</t>
    </r>
    <r>
      <rPr>
        <sz val="10"/>
        <rFont val="Arial"/>
        <family val="2"/>
      </rPr>
      <t>.</t>
    </r>
  </si>
  <si>
    <r>
      <t>1.000</t>
    </r>
    <r>
      <rPr>
        <sz val="10"/>
        <rFont val="Arial"/>
        <family val="2"/>
      </rPr>
      <t xml:space="preserve"> unidades</t>
    </r>
  </si>
  <si>
    <t>Lanches doados pelos voluntários nos Sábados PRAOGE</t>
  </si>
  <si>
    <t>Lanches doados pelos voluntários nos Sábados TRIAGEM</t>
  </si>
  <si>
    <t xml:space="preserve"> CONSOLIDADO 2008 - Lanches doados pelos voluntários </t>
  </si>
  <si>
    <t>grama</t>
  </si>
  <si>
    <t>RESUMO - 2008</t>
  </si>
  <si>
    <t>TOTAIS</t>
  </si>
  <si>
    <t>Kilos</t>
  </si>
  <si>
    <t>VERDURAS - CAIXAS ARRECADADAS E DISTRIBUIDAS  - Caixas com 20kgs. Cada</t>
  </si>
  <si>
    <t>DIAS</t>
  </si>
  <si>
    <t>KGS.</t>
  </si>
  <si>
    <t>Caixas       2465</t>
  </si>
  <si>
    <t>DISTRIBUIÇÃO DAS VERDURAS ARRECADADAS</t>
  </si>
  <si>
    <t>Ano</t>
  </si>
  <si>
    <t>Mes</t>
  </si>
  <si>
    <t>Uso na Sopa</t>
  </si>
  <si>
    <t>Dist. Assistidas</t>
  </si>
  <si>
    <t>Dist. Comunidade</t>
  </si>
  <si>
    <t>Perdas</t>
  </si>
  <si>
    <t>Outras Entidades</t>
  </si>
  <si>
    <t>Média</t>
  </si>
  <si>
    <t>CEFAK - Centro Espírita Fraternidade Allan Kardec</t>
  </si>
  <si>
    <t>CESAK - Centro Social Allan Kardec</t>
  </si>
  <si>
    <t>Relatório 2008</t>
  </si>
  <si>
    <t>PLANILHA DEMONSTRATIVA DAS ATIVIDADES ODONTOLÓGICAS E DE PROTESE REALIZADAS EM 2008.</t>
  </si>
  <si>
    <t>TRABALHADOR VOLUNTÁRIO</t>
  </si>
  <si>
    <t>criança</t>
  </si>
  <si>
    <t>Adulto</t>
  </si>
  <si>
    <t>Restauração Amalgama</t>
  </si>
  <si>
    <t>Restauração Resina</t>
  </si>
  <si>
    <t>Restauração Ionômero</t>
  </si>
  <si>
    <t>Selante</t>
  </si>
  <si>
    <t>Curativo</t>
  </si>
  <si>
    <t>Exodontia</t>
  </si>
  <si>
    <t>Raios-X</t>
  </si>
  <si>
    <t>Tartarectomia</t>
  </si>
  <si>
    <t>Profilaxia</t>
  </si>
  <si>
    <t>Escova</t>
  </si>
  <si>
    <t>Aplicação Tópica Flúor</t>
  </si>
  <si>
    <t>Técnica de Escovação</t>
  </si>
  <si>
    <t>Tratamento endodôntico</t>
  </si>
  <si>
    <r>
      <t xml:space="preserve">  ATENDIMENTO</t>
    </r>
    <r>
      <rPr>
        <b/>
        <sz val="9"/>
        <color indexed="12"/>
        <rFont val="Arial"/>
        <family val="2"/>
      </rPr>
      <t xml:space="preserve">                                                                                               </t>
    </r>
    <r>
      <rPr>
        <b/>
        <sz val="12"/>
        <color indexed="12"/>
        <rFont val="Arial"/>
        <family val="2"/>
      </rPr>
      <t xml:space="preserve"> PROCEDIMENTOS</t>
    </r>
  </si>
  <si>
    <t>PLANILHA DEMONSTRATIVA DAS ATIVIDADES  DE PRÓTESE REALIZADAS EM 2008.</t>
  </si>
  <si>
    <t>Moldagem</t>
  </si>
  <si>
    <t>Bloco RMF/Cerônemo</t>
  </si>
  <si>
    <t>Coroa Cerônemo</t>
  </si>
  <si>
    <t>Prótese Fixa adesiva 3 elementos (Cerônemo)</t>
  </si>
  <si>
    <t>Provisório</t>
  </si>
  <si>
    <t>Núcleo Metálico</t>
  </si>
  <si>
    <t>P.P.R.</t>
  </si>
  <si>
    <t>Prótese Total</t>
  </si>
  <si>
    <t>Outros</t>
  </si>
  <si>
    <r>
      <t>Atendimento</t>
    </r>
    <r>
      <rPr>
        <b/>
        <sz val="14"/>
        <color indexed="12"/>
        <rFont val="Arial"/>
        <family val="2"/>
      </rPr>
      <t xml:space="preserve">                                       PROCEDIMENTO</t>
    </r>
  </si>
  <si>
    <t>Pacientes com Alta em 2008</t>
  </si>
  <si>
    <t xml:space="preserve">Adultos </t>
  </si>
  <si>
    <t xml:space="preserve">Crianças </t>
  </si>
  <si>
    <t>Bolachas</t>
  </si>
  <si>
    <t>Lanches doados pelos voluntários nos Domingos - Evangelização</t>
  </si>
  <si>
    <t>Bisnaguinhas</t>
  </si>
  <si>
    <t>Nº de Trabalhadores</t>
  </si>
  <si>
    <t>Aranha para pendurar roupas</t>
  </si>
  <si>
    <t>Fogão de 4 bocas</t>
  </si>
  <si>
    <t>Fogão de 6</t>
  </si>
  <si>
    <t>freezer Vertical</t>
  </si>
  <si>
    <t xml:space="preserve">Mesa para cozinha </t>
  </si>
  <si>
    <t>Sofá 3 lugares</t>
  </si>
  <si>
    <t>Sofá 2 lugares</t>
  </si>
  <si>
    <t>Quantidade</t>
  </si>
  <si>
    <t>TOTAL GERAL</t>
  </si>
  <si>
    <t>BANCO DO MATERIAL DOADO - 2008</t>
  </si>
  <si>
    <t>QUANTIDADE</t>
  </si>
  <si>
    <t>CONSELHO DE ABASTECIMENTO E DISTRIBUIÇÃO - 2008</t>
  </si>
  <si>
    <t>Latas</t>
  </si>
  <si>
    <r>
      <t xml:space="preserve">  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>TIPO 1 = Roupas em Boas condições de uso.</t>
    </r>
  </si>
  <si>
    <r>
      <t xml:space="preserve">  **</t>
    </r>
    <r>
      <rPr>
        <b/>
        <sz val="10"/>
        <rFont val="Arial"/>
        <family val="2"/>
      </rPr>
      <t xml:space="preserve">TIPO 2 = Roupas que necessitam de consertos. </t>
    </r>
  </si>
  <si>
    <r>
      <t xml:space="preserve"> </t>
    </r>
    <r>
      <rPr>
        <sz val="10"/>
        <rFont val="Arial"/>
        <family val="2"/>
      </rPr>
      <t>***</t>
    </r>
    <r>
      <rPr>
        <b/>
        <sz val="10"/>
        <rFont val="Arial"/>
        <family val="2"/>
      </rPr>
      <t>TIPO 3 = Roupas Irrecuperáveis - Usos Diversos</t>
    </r>
  </si>
  <si>
    <t>Observações:</t>
  </si>
  <si>
    <t>Tipo</t>
  </si>
  <si>
    <r>
      <t xml:space="preserve">CESTA BÁSICA  </t>
    </r>
    <r>
      <rPr>
        <b/>
        <sz val="12"/>
        <color indexed="8"/>
        <rFont val="Arial"/>
        <family val="2"/>
      </rPr>
      <t>TIPO  "A"</t>
    </r>
  </si>
  <si>
    <r>
      <t xml:space="preserve">CESTA BÁSICA  </t>
    </r>
    <r>
      <rPr>
        <b/>
        <sz val="12"/>
        <color indexed="8"/>
        <rFont val="Arial"/>
        <family val="2"/>
      </rPr>
      <t>TIPO  "B"</t>
    </r>
  </si>
  <si>
    <r>
      <t xml:space="preserve">CESTA BÁSICA </t>
    </r>
    <r>
      <rPr>
        <b/>
        <sz val="12"/>
        <color indexed="8"/>
        <rFont val="Arial"/>
        <family val="2"/>
      </rPr>
      <t xml:space="preserve"> TIPO  "C"</t>
    </r>
  </si>
  <si>
    <t>521 ÍTENS</t>
  </si>
  <si>
    <t>AÇUCAR</t>
  </si>
  <si>
    <t>ITENS RECUPERADOS COM RECURSOS DOADOS PELO GRUPO</t>
  </si>
  <si>
    <t>ITENS DESCARTADOS DOADOS À  ' 100 DIMENSÃO"</t>
  </si>
  <si>
    <r>
      <t>R$609,00</t>
    </r>
    <r>
      <rPr>
        <b/>
        <sz val="12"/>
        <color indexed="12"/>
        <rFont val="Arial"/>
        <family val="2"/>
      </rPr>
      <t xml:space="preserve">               </t>
    </r>
    <r>
      <rPr>
        <b/>
        <sz val="18"/>
        <color indexed="12"/>
        <rFont val="Arial"/>
        <family val="2"/>
      </rPr>
      <t xml:space="preserve"> 97</t>
    </r>
  </si>
  <si>
    <t>anexo 2</t>
  </si>
  <si>
    <t>anexo 3</t>
  </si>
  <si>
    <t>anexo 4</t>
  </si>
  <si>
    <t>anexo 5</t>
  </si>
  <si>
    <t>Anexo 6</t>
  </si>
  <si>
    <t>Anexo 7</t>
  </si>
  <si>
    <t>DESPENSA - 2008</t>
  </si>
  <si>
    <t>JANEIRO</t>
  </si>
  <si>
    <t>FEVEREIRO</t>
  </si>
  <si>
    <t>GÊNERO</t>
  </si>
  <si>
    <t>ARROZ (Kg)</t>
  </si>
  <si>
    <t>AÇUCAR (Kg)</t>
  </si>
  <si>
    <t>F. MANDIOCA(Kg)</t>
  </si>
  <si>
    <t>FEIJÃO(Kg)</t>
  </si>
  <si>
    <t>MILHARINA(Kg)</t>
  </si>
  <si>
    <t>MACARRÃO(Kg)</t>
  </si>
  <si>
    <t>SARDINHA(und.)</t>
  </si>
  <si>
    <t>ÓLEO(und.)</t>
  </si>
  <si>
    <t>EXTRATO (und.)</t>
  </si>
  <si>
    <t>GOIABADA (und.)</t>
  </si>
  <si>
    <t>SAL (Kg)</t>
  </si>
  <si>
    <t xml:space="preserve">Kits </t>
  </si>
  <si>
    <t>C. DENTAL(und.)</t>
  </si>
  <si>
    <t>S. EM BARRA(und.)</t>
  </si>
  <si>
    <t>SABONETE(und.)</t>
  </si>
  <si>
    <t>MARÇO</t>
  </si>
  <si>
    <t>JUNHO</t>
  </si>
  <si>
    <t>JULHO</t>
  </si>
  <si>
    <t>AGOSTO</t>
  </si>
  <si>
    <t>SETEMBRO</t>
  </si>
  <si>
    <t>OUTUBRO</t>
  </si>
  <si>
    <t>NOVEMBRO</t>
  </si>
  <si>
    <t>DEZEMBRO</t>
  </si>
  <si>
    <t>TOTAL DE ENTRADA</t>
  </si>
  <si>
    <t>TOTAL DE SAÍDA</t>
  </si>
  <si>
    <t>QUANTIDADE Kg.</t>
  </si>
  <si>
    <t xml:space="preserve">ENTRADA </t>
  </si>
  <si>
    <t>CONSOLIDADO</t>
  </si>
  <si>
    <t>DESPENSA - 2008 - Consolidado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</si>
</sst>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R$ &quot;#,##0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0.0"/>
    <numFmt numFmtId="183" formatCode="[$-416]dddd\,\ d&quot; de &quot;mmmm&quot; de &quot;yyyy"/>
    <numFmt numFmtId="184" formatCode="d/m;@"/>
    <numFmt numFmtId="185" formatCode="[$-416]d\-mmm;@"/>
    <numFmt numFmtId="186" formatCode="dd/mm/yy;@"/>
    <numFmt numFmtId="187" formatCode="[$-416]d\-mmm\-yy;@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00"/>
    <numFmt numFmtId="195" formatCode="0.00000000"/>
    <numFmt numFmtId="196" formatCode="[$€-2]\ #,##0.00_);[Red]\([$€-2]\ #,##0.00\)"/>
  </numFmts>
  <fonts count="92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Tahoma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Tahoma"/>
      <family val="2"/>
    </font>
    <font>
      <b/>
      <sz val="20"/>
      <color indexed="12"/>
      <name val="Tahoma"/>
      <family val="2"/>
    </font>
    <font>
      <sz val="10"/>
      <color indexed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10"/>
      <color indexed="8"/>
      <name val="Arial"/>
      <family val="2"/>
    </font>
    <font>
      <sz val="2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18"/>
      <name val="Arial"/>
      <family val="2"/>
    </font>
    <font>
      <sz val="16"/>
      <color indexed="12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6"/>
      <name val="Tahoma"/>
      <family val="2"/>
    </font>
    <font>
      <sz val="16"/>
      <color indexed="8"/>
      <name val="Arial"/>
      <family val="2"/>
    </font>
    <font>
      <b/>
      <sz val="10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sz val="16"/>
      <color indexed="9"/>
      <name val="Tahoma"/>
      <family val="2"/>
    </font>
    <font>
      <b/>
      <sz val="16"/>
      <color indexed="9"/>
      <name val="Arial"/>
      <family val="2"/>
    </font>
    <font>
      <b/>
      <sz val="18"/>
      <color indexed="12"/>
      <name val="Arial"/>
      <family val="2"/>
    </font>
    <font>
      <sz val="18"/>
      <color indexed="8"/>
      <name val="Arial"/>
      <family val="2"/>
    </font>
    <font>
      <sz val="18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Times New Roman"/>
      <family val="1"/>
    </font>
    <font>
      <sz val="28"/>
      <color indexed="18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5" fillId="0" borderId="17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33" borderId="14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3" fillId="0" borderId="11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3" fillId="33" borderId="35" xfId="0" applyFont="1" applyFill="1" applyBorder="1" applyAlignment="1">
      <alignment horizontal="left"/>
    </xf>
    <xf numFmtId="0" fontId="25" fillId="35" borderId="36" xfId="0" applyFont="1" applyFill="1" applyBorder="1" applyAlignment="1">
      <alignment horizontal="center"/>
    </xf>
    <xf numFmtId="3" fontId="25" fillId="35" borderId="37" xfId="0" applyNumberFormat="1" applyFont="1" applyFill="1" applyBorder="1" applyAlignment="1">
      <alignment horizontal="center"/>
    </xf>
    <xf numFmtId="3" fontId="25" fillId="35" borderId="18" xfId="0" applyNumberFormat="1" applyFont="1" applyFill="1" applyBorder="1" applyAlignment="1">
      <alignment/>
    </xf>
    <xf numFmtId="3" fontId="25" fillId="35" borderId="38" xfId="0" applyNumberFormat="1" applyFont="1" applyFill="1" applyBorder="1" applyAlignment="1">
      <alignment/>
    </xf>
    <xf numFmtId="0" fontId="25" fillId="35" borderId="18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39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/>
    </xf>
    <xf numFmtId="0" fontId="0" fillId="36" borderId="14" xfId="0" applyFill="1" applyBorder="1" applyAlignment="1">
      <alignment/>
    </xf>
    <xf numFmtId="0" fontId="25" fillId="36" borderId="15" xfId="0" applyFont="1" applyFill="1" applyBorder="1" applyAlignment="1">
      <alignment horizontal="right"/>
    </xf>
    <xf numFmtId="0" fontId="37" fillId="33" borderId="4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24" xfId="0" applyFont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25" fillId="36" borderId="44" xfId="0" applyFont="1" applyFill="1" applyBorder="1" applyAlignment="1">
      <alignment horizontal="right"/>
    </xf>
    <xf numFmtId="0" fontId="25" fillId="0" borderId="15" xfId="0" applyFont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35" xfId="0" applyFont="1" applyBorder="1" applyAlignment="1">
      <alignment horizontal="right"/>
    </xf>
    <xf numFmtId="0" fontId="25" fillId="33" borderId="36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12" fillId="0" borderId="0" xfId="0" applyFont="1" applyAlignment="1">
      <alignment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0" fillId="33" borderId="46" xfId="0" applyFont="1" applyFill="1" applyBorder="1" applyAlignment="1">
      <alignment/>
    </xf>
    <xf numFmtId="3" fontId="3" fillId="0" borderId="27" xfId="0" applyNumberFormat="1" applyFont="1" applyBorder="1" applyAlignment="1">
      <alignment horizontal="right"/>
    </xf>
    <xf numFmtId="0" fontId="40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/>
    </xf>
    <xf numFmtId="0" fontId="40" fillId="0" borderId="47" xfId="0" applyFont="1" applyBorder="1" applyAlignment="1">
      <alignment vertical="top" wrapText="1"/>
    </xf>
    <xf numFmtId="0" fontId="6" fillId="0" borderId="47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40" fillId="0" borderId="48" xfId="0" applyFont="1" applyBorder="1" applyAlignment="1">
      <alignment vertical="top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56" xfId="0" applyFont="1" applyBorder="1" applyAlignment="1">
      <alignment horizontal="left"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9" xfId="0" applyFont="1" applyBorder="1" applyAlignment="1">
      <alignment/>
    </xf>
    <xf numFmtId="0" fontId="22" fillId="0" borderId="0" xfId="0" applyFont="1" applyAlignment="1">
      <alignment/>
    </xf>
    <xf numFmtId="0" fontId="9" fillId="0" borderId="59" xfId="0" applyFont="1" applyBorder="1" applyAlignment="1">
      <alignment/>
    </xf>
    <xf numFmtId="0" fontId="0" fillId="0" borderId="55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25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5" fillId="0" borderId="61" xfId="0" applyFont="1" applyFill="1" applyBorder="1" applyAlignment="1">
      <alignment horizontal="right"/>
    </xf>
    <xf numFmtId="0" fontId="17" fillId="0" borderId="60" xfId="0" applyFont="1" applyBorder="1" applyAlignment="1">
      <alignment horizontal="right"/>
    </xf>
    <xf numFmtId="1" fontId="25" fillId="36" borderId="61" xfId="0" applyNumberFormat="1" applyFont="1" applyFill="1" applyBorder="1" applyAlignment="1">
      <alignment horizontal="right"/>
    </xf>
    <xf numFmtId="1" fontId="25" fillId="36" borderId="60" xfId="0" applyNumberFormat="1" applyFont="1" applyFill="1" applyBorder="1" applyAlignment="1">
      <alignment horizontal="right"/>
    </xf>
    <xf numFmtId="0" fontId="9" fillId="0" borderId="60" xfId="0" applyFont="1" applyBorder="1" applyAlignment="1">
      <alignment/>
    </xf>
    <xf numFmtId="0" fontId="0" fillId="0" borderId="60" xfId="0" applyFont="1" applyBorder="1" applyAlignment="1">
      <alignment/>
    </xf>
    <xf numFmtId="3" fontId="22" fillId="0" borderId="52" xfId="0" applyNumberFormat="1" applyFont="1" applyBorder="1" applyAlignment="1">
      <alignment/>
    </xf>
    <xf numFmtId="0" fontId="25" fillId="0" borderId="60" xfId="0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37" borderId="61" xfId="0" applyNumberFormat="1" applyFont="1" applyFill="1" applyBorder="1" applyAlignment="1">
      <alignment/>
    </xf>
    <xf numFmtId="0" fontId="9" fillId="0" borderId="52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63" xfId="0" applyNumberFormat="1" applyFont="1" applyBorder="1" applyAlignment="1">
      <alignment/>
    </xf>
    <xf numFmtId="1" fontId="25" fillId="36" borderId="61" xfId="0" applyNumberFormat="1" applyFont="1" applyFill="1" applyBorder="1" applyAlignment="1">
      <alignment/>
    </xf>
    <xf numFmtId="1" fontId="25" fillId="36" borderId="52" xfId="0" applyNumberFormat="1" applyFont="1" applyFill="1" applyBorder="1" applyAlignment="1">
      <alignment/>
    </xf>
    <xf numFmtId="0" fontId="25" fillId="36" borderId="64" xfId="0" applyFont="1" applyFill="1" applyBorder="1" applyAlignment="1">
      <alignment/>
    </xf>
    <xf numFmtId="0" fontId="46" fillId="38" borderId="49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22" fillId="0" borderId="61" xfId="0" applyFont="1" applyBorder="1" applyAlignment="1">
      <alignment/>
    </xf>
    <xf numFmtId="0" fontId="9" fillId="0" borderId="60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42" fillId="39" borderId="65" xfId="0" applyFont="1" applyFill="1" applyBorder="1" applyAlignment="1">
      <alignment horizontal="center" vertical="center"/>
    </xf>
    <xf numFmtId="0" fontId="42" fillId="39" borderId="39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/>
    </xf>
    <xf numFmtId="0" fontId="47" fillId="39" borderId="66" xfId="0" applyFont="1" applyFill="1" applyBorder="1" applyAlignment="1">
      <alignment/>
    </xf>
    <xf numFmtId="0" fontId="18" fillId="37" borderId="11" xfId="0" applyFont="1" applyFill="1" applyBorder="1" applyAlignment="1">
      <alignment/>
    </xf>
    <xf numFmtId="0" fontId="19" fillId="37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/>
    </xf>
    <xf numFmtId="0" fontId="47" fillId="39" borderId="64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37" borderId="29" xfId="0" applyFont="1" applyFill="1" applyBorder="1" applyAlignment="1">
      <alignment/>
    </xf>
    <xf numFmtId="0" fontId="19" fillId="37" borderId="30" xfId="0" applyFont="1" applyFill="1" applyBorder="1" applyAlignment="1">
      <alignment horizontal="center"/>
    </xf>
    <xf numFmtId="0" fontId="18" fillId="37" borderId="14" xfId="0" applyFont="1" applyFill="1" applyBorder="1" applyAlignment="1">
      <alignment/>
    </xf>
    <xf numFmtId="3" fontId="12" fillId="37" borderId="23" xfId="0" applyNumberFormat="1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6" borderId="14" xfId="0" applyFont="1" applyFill="1" applyBorder="1" applyAlignment="1">
      <alignment/>
    </xf>
    <xf numFmtId="0" fontId="12" fillId="36" borderId="23" xfId="0" applyFont="1" applyFill="1" applyBorder="1" applyAlignment="1">
      <alignment/>
    </xf>
    <xf numFmtId="3" fontId="12" fillId="33" borderId="24" xfId="0" applyNumberFormat="1" applyFont="1" applyFill="1" applyBorder="1" applyAlignment="1">
      <alignment/>
    </xf>
    <xf numFmtId="0" fontId="49" fillId="40" borderId="60" xfId="0" applyFont="1" applyFill="1" applyBorder="1" applyAlignment="1">
      <alignment horizontal="center" vertical="center"/>
    </xf>
    <xf numFmtId="0" fontId="49" fillId="40" borderId="51" xfId="0" applyFont="1" applyFill="1" applyBorder="1" applyAlignment="1">
      <alignment horizontal="center" vertical="center"/>
    </xf>
    <xf numFmtId="3" fontId="19" fillId="37" borderId="22" xfId="0" applyNumberFormat="1" applyFont="1" applyFill="1" applyBorder="1" applyAlignment="1">
      <alignment/>
    </xf>
    <xf numFmtId="3" fontId="19" fillId="37" borderId="23" xfId="0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9" fillId="0" borderId="4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3" fontId="47" fillId="39" borderId="54" xfId="0" applyNumberFormat="1" applyFont="1" applyFill="1" applyBorder="1" applyAlignment="1">
      <alignment/>
    </xf>
    <xf numFmtId="3" fontId="47" fillId="39" borderId="64" xfId="0" applyNumberFormat="1" applyFont="1" applyFill="1" applyBorder="1" applyAlignment="1">
      <alignment/>
    </xf>
    <xf numFmtId="0" fontId="51" fillId="0" borderId="23" xfId="0" applyFont="1" applyBorder="1" applyAlignment="1">
      <alignment/>
    </xf>
    <xf numFmtId="0" fontId="52" fillId="0" borderId="4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35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3" fontId="51" fillId="33" borderId="39" xfId="0" applyNumberFormat="1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0" borderId="24" xfId="0" applyFont="1" applyBorder="1" applyAlignment="1">
      <alignment/>
    </xf>
    <xf numFmtId="0" fontId="52" fillId="37" borderId="32" xfId="0" applyFont="1" applyFill="1" applyBorder="1" applyAlignment="1">
      <alignment/>
    </xf>
    <xf numFmtId="0" fontId="52" fillId="37" borderId="67" xfId="0" applyFont="1" applyFill="1" applyBorder="1" applyAlignment="1">
      <alignment/>
    </xf>
    <xf numFmtId="0" fontId="52" fillId="36" borderId="43" xfId="0" applyFont="1" applyFill="1" applyBorder="1" applyAlignment="1">
      <alignment/>
    </xf>
    <xf numFmtId="0" fontId="52" fillId="36" borderId="19" xfId="0" applyFont="1" applyFill="1" applyBorder="1" applyAlignment="1">
      <alignment/>
    </xf>
    <xf numFmtId="0" fontId="52" fillId="37" borderId="43" xfId="0" applyFont="1" applyFill="1" applyBorder="1" applyAlignment="1">
      <alignment/>
    </xf>
    <xf numFmtId="0" fontId="52" fillId="37" borderId="19" xfId="0" applyFont="1" applyFill="1" applyBorder="1" applyAlignment="1">
      <alignment/>
    </xf>
    <xf numFmtId="3" fontId="51" fillId="0" borderId="65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0" fillId="0" borderId="27" xfId="0" applyFont="1" applyBorder="1" applyAlignment="1">
      <alignment vertical="top" wrapText="1"/>
    </xf>
    <xf numFmtId="0" fontId="40" fillId="33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/>
    </xf>
    <xf numFmtId="0" fontId="25" fillId="33" borderId="70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25" fillId="33" borderId="71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3" fillId="0" borderId="30" xfId="0" applyFont="1" applyBorder="1" applyAlignment="1">
      <alignment horizontal="left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0" fillId="0" borderId="53" xfId="0" applyBorder="1" applyAlignment="1">
      <alignment/>
    </xf>
    <xf numFmtId="3" fontId="25" fillId="0" borderId="24" xfId="0" applyNumberFormat="1" applyFont="1" applyBorder="1" applyAlignment="1">
      <alignment/>
    </xf>
    <xf numFmtId="0" fontId="0" fillId="33" borderId="40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0" xfId="0" applyFill="1" applyBorder="1" applyAlignment="1">
      <alignment/>
    </xf>
    <xf numFmtId="0" fontId="7" fillId="36" borderId="1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73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39" borderId="58" xfId="0" applyFont="1" applyFill="1" applyBorder="1" applyAlignment="1">
      <alignment horizontal="center" vertical="center"/>
    </xf>
    <xf numFmtId="0" fontId="50" fillId="39" borderId="39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66" xfId="0" applyFont="1" applyFill="1" applyBorder="1" applyAlignment="1">
      <alignment horizontal="center" vertical="center"/>
    </xf>
    <xf numFmtId="0" fontId="50" fillId="39" borderId="47" xfId="0" applyFont="1" applyFill="1" applyBorder="1" applyAlignment="1">
      <alignment horizontal="center" vertical="center"/>
    </xf>
    <xf numFmtId="0" fontId="50" fillId="39" borderId="21" xfId="0" applyFont="1" applyFill="1" applyBorder="1" applyAlignment="1">
      <alignment horizontal="center" vertical="center"/>
    </xf>
    <xf numFmtId="0" fontId="50" fillId="39" borderId="0" xfId="0" applyFont="1" applyFill="1" applyBorder="1" applyAlignment="1">
      <alignment horizontal="center" vertical="center"/>
    </xf>
    <xf numFmtId="0" fontId="50" fillId="39" borderId="68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center" wrapText="1"/>
    </xf>
    <xf numFmtId="0" fontId="38" fillId="34" borderId="49" xfId="0" applyFont="1" applyFill="1" applyBorder="1" applyAlignment="1">
      <alignment horizontal="left" vertical="center"/>
    </xf>
    <xf numFmtId="0" fontId="13" fillId="34" borderId="37" xfId="0" applyFont="1" applyFill="1" applyBorder="1" applyAlignment="1">
      <alignment horizontal="left" vertical="center"/>
    </xf>
    <xf numFmtId="0" fontId="13" fillId="34" borderId="38" xfId="0" applyFont="1" applyFill="1" applyBorder="1" applyAlignment="1">
      <alignment horizontal="left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56" xfId="0" applyFont="1" applyFill="1" applyBorder="1" applyAlignment="1">
      <alignment horizontal="center" vertical="center"/>
    </xf>
    <xf numFmtId="0" fontId="33" fillId="33" borderId="73" xfId="0" applyFont="1" applyFill="1" applyBorder="1" applyAlignment="1">
      <alignment horizontal="center" vertical="center"/>
    </xf>
    <xf numFmtId="0" fontId="33" fillId="33" borderId="53" xfId="0" applyFont="1" applyFill="1" applyBorder="1" applyAlignment="1">
      <alignment horizontal="center" vertical="center"/>
    </xf>
    <xf numFmtId="0" fontId="33" fillId="33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33" borderId="49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6" fillId="34" borderId="50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/>
    </xf>
    <xf numFmtId="0" fontId="48" fillId="39" borderId="50" xfId="0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42" fillId="38" borderId="34" xfId="0" applyFont="1" applyFill="1" applyBorder="1" applyAlignment="1">
      <alignment horizontal="center" vertical="center"/>
    </xf>
    <xf numFmtId="0" fontId="42" fillId="38" borderId="55" xfId="0" applyFont="1" applyFill="1" applyBorder="1" applyAlignment="1">
      <alignment horizontal="center" vertical="center"/>
    </xf>
    <xf numFmtId="0" fontId="42" fillId="38" borderId="73" xfId="0" applyFont="1" applyFill="1" applyBorder="1" applyAlignment="1">
      <alignment horizontal="center" vertical="center"/>
    </xf>
    <xf numFmtId="0" fontId="42" fillId="38" borderId="56" xfId="0" applyFont="1" applyFill="1" applyBorder="1" applyAlignment="1">
      <alignment horizontal="center" vertical="center"/>
    </xf>
    <xf numFmtId="0" fontId="42" fillId="38" borderId="59" xfId="0" applyFont="1" applyFill="1" applyBorder="1" applyAlignment="1">
      <alignment horizontal="center" vertical="center"/>
    </xf>
    <xf numFmtId="0" fontId="42" fillId="38" borderId="69" xfId="0" applyFont="1" applyFill="1" applyBorder="1" applyAlignment="1">
      <alignment horizontal="center" vertical="center"/>
    </xf>
    <xf numFmtId="0" fontId="47" fillId="39" borderId="34" xfId="0" applyFont="1" applyFill="1" applyBorder="1" applyAlignment="1">
      <alignment horizontal="center" vertical="center"/>
    </xf>
    <xf numFmtId="0" fontId="47" fillId="39" borderId="55" xfId="0" applyFont="1" applyFill="1" applyBorder="1" applyAlignment="1">
      <alignment horizontal="center" vertical="center"/>
    </xf>
    <xf numFmtId="0" fontId="47" fillId="39" borderId="25" xfId="0" applyFont="1" applyFill="1" applyBorder="1" applyAlignment="1">
      <alignment horizontal="center" vertical="center"/>
    </xf>
    <xf numFmtId="0" fontId="47" fillId="39" borderId="60" xfId="0" applyFont="1" applyFill="1" applyBorder="1" applyAlignment="1">
      <alignment horizontal="center" vertical="center"/>
    </xf>
    <xf numFmtId="0" fontId="48" fillId="39" borderId="29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39" borderId="21" xfId="0" applyFont="1" applyFill="1" applyBorder="1" applyAlignment="1">
      <alignment horizontal="center" vertical="center"/>
    </xf>
    <xf numFmtId="0" fontId="47" fillId="39" borderId="62" xfId="0" applyFont="1" applyFill="1" applyBorder="1" applyAlignment="1">
      <alignment horizontal="center" vertical="center"/>
    </xf>
    <xf numFmtId="0" fontId="47" fillId="39" borderId="4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2" fillId="39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 vertical="center" wrapText="1"/>
    </xf>
    <xf numFmtId="0" fontId="20" fillId="35" borderId="56" xfId="0" applyFont="1" applyFill="1" applyBorder="1" applyAlignment="1">
      <alignment horizontal="center" vertical="center" wrapText="1"/>
    </xf>
    <xf numFmtId="0" fontId="20" fillId="35" borderId="55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59" xfId="0" applyFont="1" applyFill="1" applyBorder="1" applyAlignment="1">
      <alignment horizontal="center" vertical="center" wrapText="1"/>
    </xf>
    <xf numFmtId="0" fontId="20" fillId="35" borderId="7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69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35" borderId="60" xfId="0" applyFont="1" applyFill="1" applyBorder="1" applyAlignment="1">
      <alignment horizontal="center" vertical="center" wrapText="1"/>
    </xf>
    <xf numFmtId="0" fontId="41" fillId="35" borderId="50" xfId="0" applyFont="1" applyFill="1" applyBorder="1" applyAlignment="1">
      <alignment horizontal="center" vertical="center" wrapText="1"/>
    </xf>
    <xf numFmtId="0" fontId="21" fillId="35" borderId="49" xfId="0" applyFont="1" applyFill="1" applyBorder="1" applyAlignment="1">
      <alignment horizontal="center"/>
    </xf>
    <xf numFmtId="0" fontId="21" fillId="35" borderId="37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56" xfId="0" applyFont="1" applyFill="1" applyBorder="1" applyAlignment="1">
      <alignment horizontal="center" vertical="center" wrapText="1"/>
    </xf>
    <xf numFmtId="0" fontId="54" fillId="33" borderId="55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59" xfId="0" applyFont="1" applyFill="1" applyBorder="1" applyAlignment="1">
      <alignment horizontal="center" vertical="center" wrapText="1"/>
    </xf>
    <xf numFmtId="0" fontId="54" fillId="33" borderId="73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0" fontId="54" fillId="33" borderId="6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right"/>
    </xf>
    <xf numFmtId="0" fontId="52" fillId="0" borderId="75" xfId="0" applyFont="1" applyBorder="1" applyAlignment="1">
      <alignment horizontal="right"/>
    </xf>
    <xf numFmtId="3" fontId="51" fillId="35" borderId="76" xfId="0" applyNumberFormat="1" applyFont="1" applyFill="1" applyBorder="1" applyAlignment="1">
      <alignment horizontal="right"/>
    </xf>
    <xf numFmtId="0" fontId="51" fillId="35" borderId="77" xfId="0" applyFont="1" applyFill="1" applyBorder="1" applyAlignment="1">
      <alignment horizontal="right"/>
    </xf>
    <xf numFmtId="0" fontId="52" fillId="0" borderId="20" xfId="0" applyFont="1" applyBorder="1" applyAlignment="1">
      <alignment horizontal="right"/>
    </xf>
    <xf numFmtId="0" fontId="52" fillId="0" borderId="78" xfId="0" applyFont="1" applyBorder="1" applyAlignment="1">
      <alignment horizontal="right"/>
    </xf>
    <xf numFmtId="0" fontId="52" fillId="37" borderId="20" xfId="0" applyFont="1" applyFill="1" applyBorder="1" applyAlignment="1">
      <alignment horizontal="right"/>
    </xf>
    <xf numFmtId="0" fontId="52" fillId="37" borderId="78" xfId="0" applyFont="1" applyFill="1" applyBorder="1" applyAlignment="1">
      <alignment horizontal="right"/>
    </xf>
    <xf numFmtId="3" fontId="52" fillId="37" borderId="20" xfId="0" applyNumberFormat="1" applyFont="1" applyFill="1" applyBorder="1" applyAlignment="1">
      <alignment horizontal="right"/>
    </xf>
    <xf numFmtId="3" fontId="52" fillId="0" borderId="20" xfId="0" applyNumberFormat="1" applyFont="1" applyBorder="1" applyAlignment="1">
      <alignment horizontal="right"/>
    </xf>
    <xf numFmtId="0" fontId="41" fillId="35" borderId="34" xfId="0" applyFont="1" applyFill="1" applyBorder="1" applyAlignment="1">
      <alignment horizontal="center" vertical="center" wrapText="1"/>
    </xf>
    <xf numFmtId="0" fontId="41" fillId="35" borderId="56" xfId="0" applyFont="1" applyFill="1" applyBorder="1" applyAlignment="1">
      <alignment horizontal="center" vertical="center" wrapText="1"/>
    </xf>
    <xf numFmtId="0" fontId="41" fillId="35" borderId="55" xfId="0" applyFont="1" applyFill="1" applyBorder="1" applyAlignment="1">
      <alignment horizontal="center" vertical="center" wrapText="1"/>
    </xf>
    <xf numFmtId="0" fontId="41" fillId="35" borderId="59" xfId="0" applyFont="1" applyFill="1" applyBorder="1" applyAlignment="1">
      <alignment horizontal="center" vertical="center" wrapText="1"/>
    </xf>
    <xf numFmtId="0" fontId="41" fillId="35" borderId="73" xfId="0" applyFont="1" applyFill="1" applyBorder="1" applyAlignment="1">
      <alignment horizontal="center" vertical="center" wrapText="1"/>
    </xf>
    <xf numFmtId="0" fontId="41" fillId="35" borderId="6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50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33" fillId="35" borderId="50" xfId="0" applyFont="1" applyFill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30" fillId="35" borderId="51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33" fillId="35" borderId="6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0" fillId="35" borderId="34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59" xfId="0" applyFont="1" applyFill="1" applyBorder="1" applyAlignment="1">
      <alignment horizontal="center" vertical="center"/>
    </xf>
    <xf numFmtId="0" fontId="30" fillId="35" borderId="73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30" fillId="35" borderId="69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4" fillId="35" borderId="60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42" fillId="41" borderId="29" xfId="0" applyFont="1" applyFill="1" applyBorder="1" applyAlignment="1">
      <alignment horizontal="center"/>
    </xf>
    <xf numFmtId="0" fontId="42" fillId="41" borderId="30" xfId="0" applyFon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42" fillId="41" borderId="2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2" fillId="41" borderId="14" xfId="0" applyFont="1" applyFill="1" applyBorder="1" applyAlignment="1">
      <alignment horizontal="center"/>
    </xf>
    <xf numFmtId="0" fontId="42" fillId="41" borderId="11" xfId="0" applyFont="1" applyFill="1" applyBorder="1" applyAlignment="1">
      <alignment horizontal="center"/>
    </xf>
    <xf numFmtId="0" fontId="42" fillId="41" borderId="23" xfId="0" applyFont="1" applyFill="1" applyBorder="1" applyAlignment="1">
      <alignment horizontal="center"/>
    </xf>
    <xf numFmtId="0" fontId="55" fillId="41" borderId="15" xfId="0" applyFont="1" applyFill="1" applyBorder="1" applyAlignment="1">
      <alignment horizontal="center"/>
    </xf>
    <xf numFmtId="0" fontId="55" fillId="41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42" fillId="41" borderId="42" xfId="0" applyFont="1" applyFill="1" applyBorder="1" applyAlignment="1">
      <alignment horizontal="center"/>
    </xf>
    <xf numFmtId="0" fontId="42" fillId="41" borderId="68" xfId="0" applyFont="1" applyFill="1" applyBorder="1" applyAlignment="1">
      <alignment horizontal="center"/>
    </xf>
    <xf numFmtId="0" fontId="42" fillId="41" borderId="75" xfId="0" applyFont="1" applyFill="1" applyBorder="1" applyAlignment="1">
      <alignment horizontal="center"/>
    </xf>
    <xf numFmtId="0" fontId="0" fillId="36" borderId="55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72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50" zoomScaleNormal="50" zoomScalePageLayoutView="0" workbookViewId="0" topLeftCell="A1">
      <selection activeCell="S55" sqref="S55"/>
    </sheetView>
  </sheetViews>
  <sheetFormatPr defaultColWidth="9.140625" defaultRowHeight="12.75"/>
  <cols>
    <col min="1" max="1" width="27.421875" style="0" customWidth="1"/>
    <col min="2" max="2" width="12.140625" style="0" customWidth="1"/>
    <col min="3" max="3" width="10.7109375" style="0" customWidth="1"/>
    <col min="4" max="4" width="10.421875" style="0" customWidth="1"/>
    <col min="5" max="7" width="9.57421875" style="0" customWidth="1"/>
    <col min="8" max="9" width="10.140625" style="0" customWidth="1"/>
    <col min="10" max="10" width="10.7109375" style="0" customWidth="1"/>
    <col min="11" max="11" width="10.140625" style="0" customWidth="1"/>
    <col min="12" max="12" width="10.7109375" style="0" customWidth="1"/>
    <col min="13" max="13" width="9.8515625" style="0" customWidth="1"/>
    <col min="14" max="14" width="15.421875" style="0" customWidth="1"/>
  </cols>
  <sheetData>
    <row r="1" spans="1:14" ht="30" customHeight="1">
      <c r="A1" s="270" t="s">
        <v>161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</row>
    <row r="2" spans="1:14" ht="12.7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1:14" ht="13.5" thickBo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8"/>
    </row>
    <row r="8" ht="13.5" thickBot="1"/>
    <row r="9" spans="1:14" ht="19.5">
      <c r="A9" s="134" t="s">
        <v>20</v>
      </c>
      <c r="B9" s="283" t="s">
        <v>18</v>
      </c>
      <c r="C9" s="266" t="s">
        <v>0</v>
      </c>
      <c r="D9" s="266" t="s">
        <v>1</v>
      </c>
      <c r="E9" s="266" t="s">
        <v>12</v>
      </c>
      <c r="F9" s="266" t="s">
        <v>13</v>
      </c>
      <c r="G9" s="266" t="s">
        <v>4</v>
      </c>
      <c r="H9" s="266" t="s">
        <v>5</v>
      </c>
      <c r="I9" s="266" t="s">
        <v>6</v>
      </c>
      <c r="J9" s="266" t="s">
        <v>7</v>
      </c>
      <c r="K9" s="266" t="s">
        <v>8</v>
      </c>
      <c r="L9" s="266" t="s">
        <v>9</v>
      </c>
      <c r="M9" s="268" t="s">
        <v>10</v>
      </c>
      <c r="N9" s="279" t="s">
        <v>11</v>
      </c>
    </row>
    <row r="10" spans="1:14" ht="20.25" thickBot="1">
      <c r="A10" s="135" t="s">
        <v>19</v>
      </c>
      <c r="B10" s="284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9"/>
      <c r="N10" s="280"/>
    </row>
    <row r="11" spans="1:14" ht="19.5">
      <c r="A11" s="136" t="s">
        <v>21</v>
      </c>
      <c r="B11" s="294">
        <v>26</v>
      </c>
      <c r="C11" s="289">
        <v>23</v>
      </c>
      <c r="D11" s="289">
        <v>27</v>
      </c>
      <c r="E11" s="289">
        <v>26</v>
      </c>
      <c r="F11" s="289">
        <v>26</v>
      </c>
      <c r="G11" s="289">
        <v>26</v>
      </c>
      <c r="H11" s="289">
        <v>26</v>
      </c>
      <c r="I11" s="289">
        <v>27</v>
      </c>
      <c r="J11" s="289">
        <v>26</v>
      </c>
      <c r="K11" s="289">
        <v>26</v>
      </c>
      <c r="L11" s="289">
        <v>26</v>
      </c>
      <c r="M11" s="289">
        <v>26</v>
      </c>
      <c r="N11" s="291">
        <f>SUM(B11:M11)</f>
        <v>311</v>
      </c>
    </row>
    <row r="12" spans="1:14" ht="19.5">
      <c r="A12" s="137" t="s">
        <v>14</v>
      </c>
      <c r="B12" s="300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8"/>
    </row>
    <row r="13" spans="1:14" ht="19.5">
      <c r="A13" s="138" t="s">
        <v>15</v>
      </c>
      <c r="B13" s="299">
        <v>1605</v>
      </c>
      <c r="C13" s="296">
        <v>704</v>
      </c>
      <c r="D13" s="296">
        <v>803</v>
      </c>
      <c r="E13" s="296">
        <v>884</v>
      </c>
      <c r="F13" s="296">
        <v>1173</v>
      </c>
      <c r="G13" s="296">
        <v>1127</v>
      </c>
      <c r="H13" s="296">
        <v>1962</v>
      </c>
      <c r="I13" s="296">
        <v>1182</v>
      </c>
      <c r="J13" s="296">
        <v>1389</v>
      </c>
      <c r="K13" s="296">
        <v>1620</v>
      </c>
      <c r="L13" s="296">
        <v>1290</v>
      </c>
      <c r="M13" s="296">
        <v>1337</v>
      </c>
      <c r="N13" s="293">
        <f>SUM(B13:M13)</f>
        <v>15076</v>
      </c>
    </row>
    <row r="14" spans="1:14" ht="20.25" thickBot="1">
      <c r="A14" s="139" t="s">
        <v>16</v>
      </c>
      <c r="B14" s="295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2"/>
    </row>
    <row r="15" spans="1:14" ht="19.5">
      <c r="A15" s="136" t="s">
        <v>22</v>
      </c>
      <c r="B15" s="294">
        <v>1207</v>
      </c>
      <c r="C15" s="289">
        <v>871</v>
      </c>
      <c r="D15" s="289">
        <v>1160</v>
      </c>
      <c r="E15" s="289">
        <v>1301</v>
      </c>
      <c r="F15" s="289">
        <v>1521</v>
      </c>
      <c r="G15" s="289">
        <v>1380</v>
      </c>
      <c r="H15" s="289">
        <v>1884</v>
      </c>
      <c r="I15" s="289">
        <v>1256</v>
      </c>
      <c r="J15" s="289">
        <v>1332</v>
      </c>
      <c r="K15" s="289">
        <v>1569</v>
      </c>
      <c r="L15" s="289">
        <v>1217</v>
      </c>
      <c r="M15" s="289">
        <v>1173</v>
      </c>
      <c r="N15" s="291">
        <f>SUM(B15:M15)</f>
        <v>15871</v>
      </c>
    </row>
    <row r="16" spans="1:14" ht="20.25" thickBot="1">
      <c r="A16" s="139" t="s">
        <v>23</v>
      </c>
      <c r="B16" s="295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2"/>
    </row>
    <row r="17" spans="1:14" ht="21" thickBot="1">
      <c r="A17" s="140" t="s">
        <v>17</v>
      </c>
      <c r="B17" s="141">
        <f aca="true" t="shared" si="0" ref="B17:N17">SUM(B13:B16)</f>
        <v>2812</v>
      </c>
      <c r="C17" s="142">
        <f t="shared" si="0"/>
        <v>1575</v>
      </c>
      <c r="D17" s="142">
        <f t="shared" si="0"/>
        <v>1963</v>
      </c>
      <c r="E17" s="142">
        <f t="shared" si="0"/>
        <v>2185</v>
      </c>
      <c r="F17" s="142">
        <f t="shared" si="0"/>
        <v>2694</v>
      </c>
      <c r="G17" s="142">
        <f t="shared" si="0"/>
        <v>2507</v>
      </c>
      <c r="H17" s="142">
        <f t="shared" si="0"/>
        <v>3846</v>
      </c>
      <c r="I17" s="142">
        <f t="shared" si="0"/>
        <v>2438</v>
      </c>
      <c r="J17" s="142">
        <f t="shared" si="0"/>
        <v>2721</v>
      </c>
      <c r="K17" s="142">
        <f t="shared" si="0"/>
        <v>3189</v>
      </c>
      <c r="L17" s="142">
        <f t="shared" si="0"/>
        <v>2507</v>
      </c>
      <c r="M17" s="142">
        <f t="shared" si="0"/>
        <v>2510</v>
      </c>
      <c r="N17" s="7">
        <f t="shared" si="0"/>
        <v>30947</v>
      </c>
    </row>
    <row r="18" spans="1:14" ht="19.5">
      <c r="A18" s="214" t="s">
        <v>25</v>
      </c>
      <c r="B18" s="287">
        <v>6529</v>
      </c>
      <c r="C18" s="285">
        <v>4648</v>
      </c>
      <c r="D18" s="285">
        <v>5452</v>
      </c>
      <c r="E18" s="285">
        <v>5843</v>
      </c>
      <c r="F18" s="285">
        <v>6696</v>
      </c>
      <c r="G18" s="285">
        <v>6547</v>
      </c>
      <c r="H18" s="285">
        <v>8021</v>
      </c>
      <c r="I18" s="285">
        <v>6362</v>
      </c>
      <c r="J18" s="285">
        <v>6582</v>
      </c>
      <c r="K18" s="285">
        <v>7330</v>
      </c>
      <c r="L18" s="285">
        <v>6181</v>
      </c>
      <c r="M18" s="285">
        <v>6752</v>
      </c>
      <c r="N18" s="281">
        <f>SUM(B18:M18)</f>
        <v>76943</v>
      </c>
    </row>
    <row r="19" spans="1:14" ht="19.5">
      <c r="A19" s="215" t="s">
        <v>24</v>
      </c>
      <c r="B19" s="288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2"/>
    </row>
    <row r="20" spans="1:14" ht="20.2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ht="15.75">
      <c r="A21" s="2" t="s">
        <v>57</v>
      </c>
    </row>
    <row r="22" ht="12.75">
      <c r="H22" s="1"/>
    </row>
  </sheetData>
  <sheetProtection/>
  <mergeCells count="66">
    <mergeCell ref="B11:B12"/>
    <mergeCell ref="C11:C12"/>
    <mergeCell ref="D11:D12"/>
    <mergeCell ref="E11:E12"/>
    <mergeCell ref="I11:I12"/>
    <mergeCell ref="J11:J12"/>
    <mergeCell ref="K11:K12"/>
    <mergeCell ref="L11:L12"/>
    <mergeCell ref="F11:F12"/>
    <mergeCell ref="G11:G12"/>
    <mergeCell ref="H11:H12"/>
    <mergeCell ref="K13:K14"/>
    <mergeCell ref="L13:L14"/>
    <mergeCell ref="M13:M14"/>
    <mergeCell ref="M11:M12"/>
    <mergeCell ref="N11:N12"/>
    <mergeCell ref="B13:B14"/>
    <mergeCell ref="C13:C14"/>
    <mergeCell ref="D13:D14"/>
    <mergeCell ref="E13:E14"/>
    <mergeCell ref="F13:F14"/>
    <mergeCell ref="M15:M16"/>
    <mergeCell ref="N15:N16"/>
    <mergeCell ref="N13:N14"/>
    <mergeCell ref="B15:B16"/>
    <mergeCell ref="C15:C16"/>
    <mergeCell ref="D15:D16"/>
    <mergeCell ref="E15:E16"/>
    <mergeCell ref="F15:F16"/>
    <mergeCell ref="G15:G16"/>
    <mergeCell ref="H15:H16"/>
    <mergeCell ref="B18:B19"/>
    <mergeCell ref="C18:C19"/>
    <mergeCell ref="D18:D19"/>
    <mergeCell ref="E18:E19"/>
    <mergeCell ref="K15:K16"/>
    <mergeCell ref="L15:L16"/>
    <mergeCell ref="I15:I16"/>
    <mergeCell ref="J15:J16"/>
    <mergeCell ref="K18:K19"/>
    <mergeCell ref="L18:L19"/>
    <mergeCell ref="M18:M19"/>
    <mergeCell ref="F18:F19"/>
    <mergeCell ref="G18:G19"/>
    <mergeCell ref="H18:H19"/>
    <mergeCell ref="I18:I19"/>
    <mergeCell ref="F9:F10"/>
    <mergeCell ref="G9:G10"/>
    <mergeCell ref="H9:H10"/>
    <mergeCell ref="I9:I10"/>
    <mergeCell ref="J9:J10"/>
    <mergeCell ref="J18:J19"/>
    <mergeCell ref="J13:J14"/>
    <mergeCell ref="G13:G14"/>
    <mergeCell ref="H13:H14"/>
    <mergeCell ref="I13:I14"/>
    <mergeCell ref="K9:K10"/>
    <mergeCell ref="L9:L10"/>
    <mergeCell ref="M9:M10"/>
    <mergeCell ref="A1:N3"/>
    <mergeCell ref="N9:N10"/>
    <mergeCell ref="N18:N19"/>
    <mergeCell ref="B9:B10"/>
    <mergeCell ref="C9:C10"/>
    <mergeCell ref="D9:D10"/>
    <mergeCell ref="E9:E1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0.28125" style="0" customWidth="1"/>
    <col min="16" max="17" width="9.140625" style="0" hidden="1" customWidth="1"/>
  </cols>
  <sheetData>
    <row r="1" spans="1:15" ht="12.75">
      <c r="A1" s="406" t="s">
        <v>213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</row>
    <row r="4" spans="1:18" ht="21" thickBot="1">
      <c r="A4" s="421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R4" s="404" t="s">
        <v>167</v>
      </c>
    </row>
    <row r="5" spans="1:18" ht="13.5" thickBot="1">
      <c r="A5" s="422"/>
      <c r="B5" s="43" t="s">
        <v>168</v>
      </c>
      <c r="C5" s="44" t="s">
        <v>135</v>
      </c>
      <c r="D5" s="45" t="s">
        <v>136</v>
      </c>
      <c r="E5" s="45" t="s">
        <v>169</v>
      </c>
      <c r="F5" s="45" t="s">
        <v>138</v>
      </c>
      <c r="G5" s="45" t="s">
        <v>139</v>
      </c>
      <c r="H5" s="45" t="s">
        <v>140</v>
      </c>
      <c r="I5" s="45" t="s">
        <v>170</v>
      </c>
      <c r="J5" s="45" t="s">
        <v>142</v>
      </c>
      <c r="K5" s="45" t="s">
        <v>143</v>
      </c>
      <c r="L5" s="45" t="s">
        <v>171</v>
      </c>
      <c r="M5" s="45" t="s">
        <v>145</v>
      </c>
      <c r="N5" s="46" t="s">
        <v>146</v>
      </c>
      <c r="O5" s="417"/>
      <c r="R5" s="405"/>
    </row>
    <row r="6" spans="1:18" ht="12.75">
      <c r="A6" s="31" t="s">
        <v>172</v>
      </c>
      <c r="B6" s="32" t="s">
        <v>173</v>
      </c>
      <c r="C6" s="33">
        <v>2</v>
      </c>
      <c r="D6" s="33">
        <v>2</v>
      </c>
      <c r="E6" s="33">
        <v>2.5</v>
      </c>
      <c r="F6" s="33">
        <v>2</v>
      </c>
      <c r="G6" s="33">
        <v>2</v>
      </c>
      <c r="H6" s="33">
        <v>2</v>
      </c>
      <c r="I6" s="33">
        <v>2</v>
      </c>
      <c r="J6" s="33">
        <v>2.5</v>
      </c>
      <c r="K6" s="33">
        <v>2</v>
      </c>
      <c r="L6" s="33">
        <v>2</v>
      </c>
      <c r="M6" s="33">
        <v>2.5</v>
      </c>
      <c r="N6" s="33">
        <v>1.5</v>
      </c>
      <c r="O6" s="34">
        <v>25</v>
      </c>
      <c r="R6" s="35" t="s">
        <v>173</v>
      </c>
    </row>
    <row r="7" spans="1:18" ht="12.75">
      <c r="A7" s="31" t="s">
        <v>174</v>
      </c>
      <c r="B7" s="36" t="s">
        <v>173</v>
      </c>
      <c r="C7" s="33"/>
      <c r="D7" s="33"/>
      <c r="E7" s="33"/>
      <c r="F7" s="33"/>
      <c r="G7" s="33">
        <v>30</v>
      </c>
      <c r="H7" s="33"/>
      <c r="I7" s="33"/>
      <c r="J7" s="33"/>
      <c r="K7" s="33"/>
      <c r="L7" s="33"/>
      <c r="M7" s="33"/>
      <c r="N7" s="33"/>
      <c r="O7" s="37">
        <v>30</v>
      </c>
      <c r="R7" s="38" t="s">
        <v>173</v>
      </c>
    </row>
    <row r="8" spans="1:18" ht="12.75">
      <c r="A8" s="31" t="s">
        <v>175</v>
      </c>
      <c r="B8" s="36" t="s">
        <v>173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7">
        <v>6</v>
      </c>
      <c r="R8" s="38" t="s">
        <v>173</v>
      </c>
    </row>
    <row r="9" spans="1:18" ht="12.75">
      <c r="A9" s="31" t="s">
        <v>176</v>
      </c>
      <c r="B9" s="36" t="s">
        <v>173</v>
      </c>
      <c r="C9" s="33">
        <v>0.8</v>
      </c>
      <c r="D9" s="33">
        <v>0.8</v>
      </c>
      <c r="E9" s="33">
        <v>1</v>
      </c>
      <c r="F9" s="33">
        <v>1</v>
      </c>
      <c r="G9" s="33">
        <v>0.6</v>
      </c>
      <c r="H9" s="33">
        <v>0.8</v>
      </c>
      <c r="I9" s="33">
        <v>0.8</v>
      </c>
      <c r="J9" s="33">
        <v>1</v>
      </c>
      <c r="K9" s="33">
        <v>0.8</v>
      </c>
      <c r="L9" s="33">
        <v>0.8</v>
      </c>
      <c r="M9" s="33">
        <v>1</v>
      </c>
      <c r="N9" s="33">
        <v>0.6</v>
      </c>
      <c r="O9" s="37">
        <v>10</v>
      </c>
      <c r="R9" s="38" t="s">
        <v>173</v>
      </c>
    </row>
    <row r="10" spans="1:18" ht="12.75">
      <c r="A10" s="31" t="s">
        <v>177</v>
      </c>
      <c r="B10" s="36" t="s">
        <v>173</v>
      </c>
      <c r="C10" s="33"/>
      <c r="D10" s="33"/>
      <c r="E10" s="33"/>
      <c r="F10" s="33"/>
      <c r="G10" s="33"/>
      <c r="H10" s="33"/>
      <c r="I10" s="33">
        <v>10</v>
      </c>
      <c r="J10" s="33"/>
      <c r="K10" s="33"/>
      <c r="L10" s="33"/>
      <c r="M10" s="33"/>
      <c r="N10" s="33"/>
      <c r="O10" s="37">
        <v>10</v>
      </c>
      <c r="R10" s="38" t="s">
        <v>173</v>
      </c>
    </row>
    <row r="11" spans="1:18" ht="12.75">
      <c r="A11" s="31" t="s">
        <v>178</v>
      </c>
      <c r="B11" s="36" t="s">
        <v>179</v>
      </c>
      <c r="C11" s="33">
        <v>46</v>
      </c>
      <c r="D11" s="33">
        <v>48</v>
      </c>
      <c r="E11" s="33">
        <v>53</v>
      </c>
      <c r="F11" s="33">
        <v>43</v>
      </c>
      <c r="G11" s="33">
        <v>60</v>
      </c>
      <c r="H11" s="33">
        <v>46</v>
      </c>
      <c r="I11" s="33">
        <v>44</v>
      </c>
      <c r="J11" s="33">
        <v>59</v>
      </c>
      <c r="K11" s="33">
        <v>47</v>
      </c>
      <c r="L11" s="33">
        <v>48</v>
      </c>
      <c r="M11" s="33">
        <v>60</v>
      </c>
      <c r="N11" s="33">
        <v>36</v>
      </c>
      <c r="O11" s="37">
        <v>590</v>
      </c>
      <c r="R11" s="38" t="s">
        <v>180</v>
      </c>
    </row>
    <row r="12" spans="1:21" ht="12.75">
      <c r="A12" s="31" t="s">
        <v>181</v>
      </c>
      <c r="B12" s="36" t="s">
        <v>182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7">
        <v>15</v>
      </c>
      <c r="R12" s="38" t="s">
        <v>180</v>
      </c>
      <c r="U12" s="19"/>
    </row>
    <row r="13" spans="1:18" ht="12.75">
      <c r="A13" s="31" t="s">
        <v>183</v>
      </c>
      <c r="B13" s="36" t="s">
        <v>184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7">
        <v>3</v>
      </c>
      <c r="R13" s="38" t="s">
        <v>185</v>
      </c>
    </row>
    <row r="14" spans="1:18" ht="12.75">
      <c r="A14" s="31" t="s">
        <v>186</v>
      </c>
      <c r="B14" s="36" t="s">
        <v>173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7">
        <v>0</v>
      </c>
      <c r="R14" s="38" t="s">
        <v>173</v>
      </c>
    </row>
    <row r="15" spans="1:18" ht="12.75">
      <c r="A15" s="31" t="s">
        <v>187</v>
      </c>
      <c r="B15" s="36" t="s">
        <v>173</v>
      </c>
      <c r="C15" s="33">
        <v>4</v>
      </c>
      <c r="D15" s="33">
        <v>2</v>
      </c>
      <c r="E15" s="33">
        <v>2.5</v>
      </c>
      <c r="F15" s="33">
        <v>4</v>
      </c>
      <c r="G15" s="33">
        <v>3</v>
      </c>
      <c r="H15" s="33">
        <v>4</v>
      </c>
      <c r="I15" s="33">
        <v>4</v>
      </c>
      <c r="J15" s="33">
        <v>2.5</v>
      </c>
      <c r="K15" s="33">
        <v>4</v>
      </c>
      <c r="L15" s="33">
        <v>4</v>
      </c>
      <c r="M15" s="33">
        <v>5</v>
      </c>
      <c r="N15" s="33">
        <v>3</v>
      </c>
      <c r="O15" s="37">
        <v>42</v>
      </c>
      <c r="R15" s="38" t="s">
        <v>173</v>
      </c>
    </row>
    <row r="16" spans="1:18" ht="12.75">
      <c r="A16" s="31" t="s">
        <v>189</v>
      </c>
      <c r="B16" s="36" t="s">
        <v>173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7">
        <v>2</v>
      </c>
      <c r="P16">
        <f>SUM(C16:O16)</f>
        <v>2</v>
      </c>
      <c r="R16" s="38" t="s">
        <v>173</v>
      </c>
    </row>
    <row r="17" spans="1:18" ht="12.75">
      <c r="A17" s="31" t="s">
        <v>190</v>
      </c>
      <c r="B17" s="36" t="s">
        <v>168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7">
        <v>200</v>
      </c>
      <c r="R17" s="38" t="s">
        <v>191</v>
      </c>
    </row>
    <row r="18" spans="1:18" ht="12.75">
      <c r="A18" s="31" t="s">
        <v>192</v>
      </c>
      <c r="B18" s="36" t="s">
        <v>168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7">
        <v>0</v>
      </c>
      <c r="R18" s="38" t="s">
        <v>191</v>
      </c>
    </row>
    <row r="19" spans="1:18" ht="12.75">
      <c r="A19" s="31" t="s">
        <v>193</v>
      </c>
      <c r="B19" s="36" t="s">
        <v>168</v>
      </c>
      <c r="C19" s="33">
        <v>520</v>
      </c>
      <c r="D19" s="33">
        <v>520</v>
      </c>
      <c r="E19" s="33">
        <v>700</v>
      </c>
      <c r="F19" s="33">
        <v>520</v>
      </c>
      <c r="G19" s="33">
        <v>620</v>
      </c>
      <c r="H19" s="33">
        <v>520</v>
      </c>
      <c r="I19" s="33">
        <v>520</v>
      </c>
      <c r="J19" s="33">
        <v>650</v>
      </c>
      <c r="K19" s="33">
        <v>520</v>
      </c>
      <c r="L19" s="33">
        <v>520</v>
      </c>
      <c r="M19" s="33">
        <v>650</v>
      </c>
      <c r="N19" s="33">
        <v>390</v>
      </c>
      <c r="O19" s="39">
        <v>6650</v>
      </c>
      <c r="R19" s="38" t="s">
        <v>191</v>
      </c>
    </row>
    <row r="20" spans="1:18" ht="12.75">
      <c r="A20" s="31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>
        <v>0</v>
      </c>
      <c r="R20" s="38" t="s">
        <v>196</v>
      </c>
    </row>
    <row r="21" spans="1:18" ht="12.75">
      <c r="A21" s="31" t="s">
        <v>197</v>
      </c>
      <c r="B21" s="36" t="s">
        <v>173</v>
      </c>
      <c r="C21" s="33"/>
      <c r="D21" s="33"/>
      <c r="E21" s="33"/>
      <c r="F21" s="33"/>
      <c r="G21" s="33">
        <v>2</v>
      </c>
      <c r="H21" s="33"/>
      <c r="I21" s="33"/>
      <c r="J21" s="33"/>
      <c r="K21" s="33"/>
      <c r="L21" s="33"/>
      <c r="M21" s="33"/>
      <c r="N21" s="33"/>
      <c r="O21" s="37">
        <v>2</v>
      </c>
      <c r="R21" s="38" t="s">
        <v>173</v>
      </c>
    </row>
    <row r="22" spans="1:18" ht="12.75">
      <c r="A22" s="31" t="s">
        <v>198</v>
      </c>
      <c r="B22" s="36" t="s">
        <v>173</v>
      </c>
      <c r="C22" s="33"/>
      <c r="D22" s="33"/>
      <c r="E22" s="33"/>
      <c r="F22" s="33"/>
      <c r="G22" s="33">
        <v>2</v>
      </c>
      <c r="H22" s="33"/>
      <c r="I22" s="33"/>
      <c r="J22" s="33"/>
      <c r="K22" s="33"/>
      <c r="L22" s="33"/>
      <c r="M22" s="33"/>
      <c r="N22" s="33"/>
      <c r="O22" s="37">
        <v>2</v>
      </c>
      <c r="R22" s="38" t="s">
        <v>173</v>
      </c>
    </row>
    <row r="23" spans="1:18" ht="12.75">
      <c r="A23" s="31" t="s">
        <v>199</v>
      </c>
      <c r="B23" s="36" t="s">
        <v>179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v>32</v>
      </c>
      <c r="O23" s="37">
        <v>32</v>
      </c>
      <c r="R23" s="38" t="s">
        <v>180</v>
      </c>
    </row>
    <row r="24" spans="1:18" ht="12.75">
      <c r="A24" s="31" t="s">
        <v>200</v>
      </c>
      <c r="B24" s="36" t="s">
        <v>173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>
        <v>0</v>
      </c>
      <c r="R24" s="38" t="s">
        <v>173</v>
      </c>
    </row>
    <row r="25" spans="1:18" ht="12.75">
      <c r="A25" s="31" t="s">
        <v>201</v>
      </c>
      <c r="B25" s="36" t="s">
        <v>173</v>
      </c>
      <c r="C25" s="33"/>
      <c r="D25" s="33"/>
      <c r="E25" s="33">
        <v>0.5</v>
      </c>
      <c r="F25" s="33"/>
      <c r="G25" s="33">
        <v>1.5</v>
      </c>
      <c r="H25" s="33"/>
      <c r="I25" s="33"/>
      <c r="J25" s="33"/>
      <c r="K25" s="33"/>
      <c r="L25" s="40"/>
      <c r="M25" s="33">
        <v>1.5</v>
      </c>
      <c r="N25" s="33"/>
      <c r="O25" s="37">
        <v>3.5</v>
      </c>
      <c r="R25" s="38" t="s">
        <v>173</v>
      </c>
    </row>
    <row r="26" spans="1:18" ht="12.75">
      <c r="A26" s="31" t="s">
        <v>202</v>
      </c>
      <c r="B26" s="36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>
        <v>0</v>
      </c>
      <c r="R26" s="38" t="s">
        <v>173</v>
      </c>
    </row>
    <row r="27" spans="1:18" ht="12.75">
      <c r="A27" s="31" t="s">
        <v>203</v>
      </c>
      <c r="B27" s="36" t="s">
        <v>179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>
        <v>0</v>
      </c>
      <c r="R27" s="38" t="s">
        <v>180</v>
      </c>
    </row>
    <row r="28" spans="1:18" ht="12.75">
      <c r="A28" s="31" t="s">
        <v>204</v>
      </c>
      <c r="B28" s="36" t="s">
        <v>173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7">
        <v>0</v>
      </c>
      <c r="R28" s="38" t="s">
        <v>173</v>
      </c>
    </row>
    <row r="29" spans="1:18" ht="12.75">
      <c r="A29" s="31" t="s">
        <v>205</v>
      </c>
      <c r="B29" s="36" t="s">
        <v>173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7">
        <v>0</v>
      </c>
      <c r="R29" s="38" t="s">
        <v>173</v>
      </c>
    </row>
    <row r="30" spans="1:18" ht="13.5" thickBot="1">
      <c r="A30" s="31" t="s">
        <v>206</v>
      </c>
      <c r="B30" s="24" t="s">
        <v>168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3">
        <v>1500</v>
      </c>
      <c r="O30" s="39">
        <v>1500</v>
      </c>
      <c r="R30" s="42" t="s">
        <v>191</v>
      </c>
    </row>
    <row r="33" ht="12.75">
      <c r="J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0.7109375" style="0" customWidth="1"/>
    <col min="16" max="17" width="9.140625" style="0" hidden="1" customWidth="1"/>
  </cols>
  <sheetData>
    <row r="1" spans="1:15" ht="12.75">
      <c r="A1" s="406" t="s">
        <v>214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</row>
    <row r="4" spans="1:18" ht="21" thickBot="1">
      <c r="A4" s="421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R4" s="404" t="s">
        <v>167</v>
      </c>
    </row>
    <row r="5" spans="1:18" ht="13.5" thickBot="1">
      <c r="A5" s="422"/>
      <c r="B5" s="27" t="s">
        <v>168</v>
      </c>
      <c r="C5" s="28" t="s">
        <v>135</v>
      </c>
      <c r="D5" s="29" t="s">
        <v>136</v>
      </c>
      <c r="E5" s="29" t="s">
        <v>169</v>
      </c>
      <c r="F5" s="29" t="s">
        <v>138</v>
      </c>
      <c r="G5" s="29" t="s">
        <v>139</v>
      </c>
      <c r="H5" s="29" t="s">
        <v>140</v>
      </c>
      <c r="I5" s="29" t="s">
        <v>170</v>
      </c>
      <c r="J5" s="29" t="s">
        <v>142</v>
      </c>
      <c r="K5" s="29" t="s">
        <v>143</v>
      </c>
      <c r="L5" s="29" t="s">
        <v>171</v>
      </c>
      <c r="M5" s="29" t="s">
        <v>145</v>
      </c>
      <c r="N5" s="30" t="s">
        <v>146</v>
      </c>
      <c r="O5" s="417"/>
      <c r="R5" s="405"/>
    </row>
    <row r="6" spans="1:18" ht="12.75">
      <c r="A6" s="31" t="s">
        <v>172</v>
      </c>
      <c r="B6" s="32" t="s">
        <v>173</v>
      </c>
      <c r="C6" s="33"/>
      <c r="D6" s="33"/>
      <c r="E6" s="33"/>
      <c r="F6" s="33"/>
      <c r="G6" s="33"/>
      <c r="H6" s="33">
        <v>0.25</v>
      </c>
      <c r="I6" s="33"/>
      <c r="J6" s="33"/>
      <c r="K6" s="33">
        <v>2</v>
      </c>
      <c r="L6" s="33"/>
      <c r="M6" s="33">
        <v>0.25</v>
      </c>
      <c r="N6" s="33">
        <v>0.6</v>
      </c>
      <c r="O6" s="34">
        <v>3.1</v>
      </c>
      <c r="R6" s="35" t="s">
        <v>173</v>
      </c>
    </row>
    <row r="7" spans="1:18" ht="12.75">
      <c r="A7" s="31" t="s">
        <v>174</v>
      </c>
      <c r="B7" s="36" t="s">
        <v>173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7">
        <v>0</v>
      </c>
      <c r="R7" s="38" t="s">
        <v>173</v>
      </c>
    </row>
    <row r="8" spans="1:18" ht="12.75">
      <c r="A8" s="31" t="s">
        <v>175</v>
      </c>
      <c r="B8" s="36" t="s">
        <v>173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7">
        <v>0</v>
      </c>
      <c r="R8" s="38" t="s">
        <v>173</v>
      </c>
    </row>
    <row r="9" spans="1:18" ht="12.75">
      <c r="A9" s="31" t="s">
        <v>176</v>
      </c>
      <c r="B9" s="36" t="s">
        <v>173</v>
      </c>
      <c r="C9" s="33"/>
      <c r="D9" s="33"/>
      <c r="E9" s="33"/>
      <c r="F9" s="33"/>
      <c r="G9" s="33"/>
      <c r="H9" s="33"/>
      <c r="I9" s="33"/>
      <c r="J9" s="33"/>
      <c r="K9" s="33">
        <v>0.3</v>
      </c>
      <c r="L9" s="33"/>
      <c r="M9" s="33"/>
      <c r="N9" s="33"/>
      <c r="O9" s="37">
        <v>0.3</v>
      </c>
      <c r="R9" s="38" t="s">
        <v>173</v>
      </c>
    </row>
    <row r="10" spans="1:18" ht="12.75">
      <c r="A10" s="31" t="s">
        <v>177</v>
      </c>
      <c r="B10" s="36" t="s">
        <v>173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7">
        <v>0</v>
      </c>
      <c r="R10" s="38" t="s">
        <v>173</v>
      </c>
    </row>
    <row r="11" spans="1:18" ht="12.75">
      <c r="A11" s="31" t="s">
        <v>178</v>
      </c>
      <c r="B11" s="36" t="s">
        <v>179</v>
      </c>
      <c r="C11" s="33"/>
      <c r="D11" s="33"/>
      <c r="E11" s="33"/>
      <c r="F11" s="33"/>
      <c r="G11" s="33"/>
      <c r="H11" s="33">
        <v>2</v>
      </c>
      <c r="I11" s="33"/>
      <c r="J11" s="33"/>
      <c r="K11" s="33"/>
      <c r="L11" s="33"/>
      <c r="M11" s="33">
        <v>6</v>
      </c>
      <c r="N11" s="33">
        <v>5</v>
      </c>
      <c r="O11" s="37">
        <v>13</v>
      </c>
      <c r="R11" s="38" t="s">
        <v>180</v>
      </c>
    </row>
    <row r="12" spans="1:22" ht="12.75">
      <c r="A12" s="31" t="s">
        <v>181</v>
      </c>
      <c r="B12" s="36" t="s">
        <v>182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7">
        <v>0</v>
      </c>
      <c r="R12" s="38" t="s">
        <v>180</v>
      </c>
      <c r="V12" s="19"/>
    </row>
    <row r="13" spans="1:18" ht="12.75">
      <c r="A13" s="31" t="s">
        <v>183</v>
      </c>
      <c r="B13" s="36" t="s">
        <v>184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7">
        <v>0</v>
      </c>
      <c r="R13" s="38" t="s">
        <v>185</v>
      </c>
    </row>
    <row r="14" spans="1:18" ht="12.75">
      <c r="A14" s="31" t="s">
        <v>186</v>
      </c>
      <c r="B14" s="36" t="s">
        <v>173</v>
      </c>
      <c r="C14" s="33">
        <v>1</v>
      </c>
      <c r="D14" s="33">
        <v>0.5</v>
      </c>
      <c r="E14" s="33"/>
      <c r="F14" s="33">
        <v>0.5</v>
      </c>
      <c r="G14" s="33"/>
      <c r="H14" s="33">
        <v>0.5</v>
      </c>
      <c r="I14" s="33"/>
      <c r="J14" s="33">
        <v>1</v>
      </c>
      <c r="K14" s="33">
        <v>0.5</v>
      </c>
      <c r="L14" s="33"/>
      <c r="M14" s="33"/>
      <c r="N14" s="33">
        <v>0.25</v>
      </c>
      <c r="O14" s="37">
        <v>4.25</v>
      </c>
      <c r="R14" s="38" t="s">
        <v>173</v>
      </c>
    </row>
    <row r="15" spans="1:18" ht="12.75">
      <c r="A15" s="31" t="s">
        <v>187</v>
      </c>
      <c r="B15" s="36" t="s">
        <v>173</v>
      </c>
      <c r="C15" s="33">
        <v>1</v>
      </c>
      <c r="D15" s="33">
        <v>1</v>
      </c>
      <c r="E15" s="33">
        <v>2</v>
      </c>
      <c r="F15" s="33">
        <v>1.5</v>
      </c>
      <c r="G15" s="33">
        <v>2</v>
      </c>
      <c r="H15" s="33">
        <v>1.5</v>
      </c>
      <c r="I15" s="33">
        <v>2</v>
      </c>
      <c r="J15" s="33">
        <v>1</v>
      </c>
      <c r="K15" s="33">
        <v>0.5</v>
      </c>
      <c r="L15" s="33">
        <v>2</v>
      </c>
      <c r="M15" s="33">
        <v>2</v>
      </c>
      <c r="N15" s="33"/>
      <c r="O15" s="37">
        <v>16.5</v>
      </c>
      <c r="R15" s="38" t="s">
        <v>173</v>
      </c>
    </row>
    <row r="16" spans="1:18" ht="12.75">
      <c r="A16" s="31" t="s">
        <v>189</v>
      </c>
      <c r="B16" s="36" t="s">
        <v>173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7">
        <v>0</v>
      </c>
      <c r="P16">
        <f>SUM(C16:O16)</f>
        <v>0</v>
      </c>
      <c r="R16" s="38" t="s">
        <v>173</v>
      </c>
    </row>
    <row r="17" spans="1:18" ht="12.75">
      <c r="A17" s="31" t="s">
        <v>190</v>
      </c>
      <c r="B17" s="36" t="s">
        <v>168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7">
        <v>0</v>
      </c>
      <c r="R17" s="38" t="s">
        <v>191</v>
      </c>
    </row>
    <row r="18" spans="1:18" ht="12.75">
      <c r="A18" s="31" t="s">
        <v>192</v>
      </c>
      <c r="B18" s="36" t="s">
        <v>168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7">
        <v>0</v>
      </c>
      <c r="R18" s="38" t="s">
        <v>191</v>
      </c>
    </row>
    <row r="19" spans="1:18" ht="12.75">
      <c r="A19" s="31" t="s">
        <v>193</v>
      </c>
      <c r="B19" s="36" t="s">
        <v>168</v>
      </c>
      <c r="C19" s="33">
        <v>210</v>
      </c>
      <c r="D19" s="33">
        <v>200</v>
      </c>
      <c r="E19" s="33">
        <v>260</v>
      </c>
      <c r="F19" s="33">
        <v>200</v>
      </c>
      <c r="G19" s="33">
        <v>230</v>
      </c>
      <c r="H19" s="33">
        <v>200</v>
      </c>
      <c r="I19" s="33">
        <v>200</v>
      </c>
      <c r="J19" s="33">
        <v>270</v>
      </c>
      <c r="K19" s="33">
        <v>190</v>
      </c>
      <c r="L19" s="33">
        <v>200</v>
      </c>
      <c r="M19" s="33">
        <v>200</v>
      </c>
      <c r="N19" s="33">
        <v>180</v>
      </c>
      <c r="O19" s="39">
        <v>2540</v>
      </c>
      <c r="R19" s="38" t="s">
        <v>191</v>
      </c>
    </row>
    <row r="20" spans="1:18" ht="12.75">
      <c r="A20" s="31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>
        <v>0</v>
      </c>
      <c r="R20" s="38" t="s">
        <v>196</v>
      </c>
    </row>
    <row r="21" spans="1:18" ht="12.75">
      <c r="A21" s="31" t="s">
        <v>197</v>
      </c>
      <c r="B21" s="36" t="s">
        <v>173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7">
        <v>0</v>
      </c>
      <c r="R21" s="38" t="s">
        <v>173</v>
      </c>
    </row>
    <row r="22" spans="1:18" ht="12.75">
      <c r="A22" s="31" t="s">
        <v>198</v>
      </c>
      <c r="B22" s="36" t="s">
        <v>173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7">
        <v>0</v>
      </c>
      <c r="R22" s="38" t="s">
        <v>173</v>
      </c>
    </row>
    <row r="23" spans="1:18" ht="12.75">
      <c r="A23" s="31" t="s">
        <v>199</v>
      </c>
      <c r="B23" s="36" t="s">
        <v>179</v>
      </c>
      <c r="C23" s="33"/>
      <c r="D23" s="33"/>
      <c r="E23" s="33"/>
      <c r="F23" s="33">
        <v>10</v>
      </c>
      <c r="G23" s="33"/>
      <c r="H23" s="33"/>
      <c r="I23" s="33"/>
      <c r="J23" s="33"/>
      <c r="K23" s="33"/>
      <c r="L23" s="33"/>
      <c r="M23" s="33"/>
      <c r="N23" s="33"/>
      <c r="O23" s="37">
        <v>10</v>
      </c>
      <c r="R23" s="38" t="s">
        <v>180</v>
      </c>
    </row>
    <row r="24" spans="1:18" ht="12.75">
      <c r="A24" s="31" t="s">
        <v>200</v>
      </c>
      <c r="B24" s="36" t="s">
        <v>173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>
        <v>0</v>
      </c>
      <c r="R24" s="38" t="s">
        <v>173</v>
      </c>
    </row>
    <row r="25" spans="1:18" ht="12.75">
      <c r="A25" s="31" t="s">
        <v>201</v>
      </c>
      <c r="B25" s="36" t="s">
        <v>173</v>
      </c>
      <c r="C25" s="33">
        <v>1</v>
      </c>
      <c r="D25" s="33">
        <v>1.5</v>
      </c>
      <c r="E25" s="33"/>
      <c r="F25" s="33"/>
      <c r="G25" s="33"/>
      <c r="H25" s="33"/>
      <c r="I25" s="33"/>
      <c r="J25" s="33">
        <v>1.5</v>
      </c>
      <c r="K25" s="33">
        <v>2</v>
      </c>
      <c r="L25" s="40">
        <v>1.5</v>
      </c>
      <c r="M25" s="33">
        <v>2</v>
      </c>
      <c r="N25" s="33">
        <v>2</v>
      </c>
      <c r="O25" s="37">
        <v>11.5</v>
      </c>
      <c r="R25" s="38" t="s">
        <v>173</v>
      </c>
    </row>
    <row r="26" spans="1:18" ht="12.75">
      <c r="A26" s="31" t="s">
        <v>202</v>
      </c>
      <c r="B26" s="36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>
        <v>0</v>
      </c>
      <c r="R26" s="38" t="s">
        <v>173</v>
      </c>
    </row>
    <row r="27" spans="1:18" ht="12.75">
      <c r="A27" s="31" t="s">
        <v>203</v>
      </c>
      <c r="B27" s="36" t="s">
        <v>179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>
        <v>0</v>
      </c>
      <c r="R27" s="38" t="s">
        <v>180</v>
      </c>
    </row>
    <row r="28" spans="1:18" ht="12.75">
      <c r="A28" s="31" t="s">
        <v>204</v>
      </c>
      <c r="B28" s="36" t="s">
        <v>173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7">
        <v>0</v>
      </c>
      <c r="R28" s="38" t="s">
        <v>173</v>
      </c>
    </row>
    <row r="29" spans="1:18" ht="12.75">
      <c r="A29" s="31" t="s">
        <v>205</v>
      </c>
      <c r="B29" s="36" t="s">
        <v>173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7">
        <v>0</v>
      </c>
      <c r="R29" s="38" t="s">
        <v>173</v>
      </c>
    </row>
    <row r="30" spans="1:18" ht="13.5" thickBot="1">
      <c r="A30" s="31" t="s">
        <v>206</v>
      </c>
      <c r="B30" s="24" t="s">
        <v>168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3"/>
      <c r="O30" s="37">
        <v>0</v>
      </c>
      <c r="R30" s="42" t="s">
        <v>191</v>
      </c>
    </row>
    <row r="33" ht="12.75">
      <c r="I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0.7109375" style="0" customWidth="1"/>
    <col min="16" max="17" width="9.140625" style="0" hidden="1" customWidth="1"/>
  </cols>
  <sheetData>
    <row r="1" spans="1:15" ht="12.75">
      <c r="A1" s="406" t="s">
        <v>269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</row>
    <row r="4" spans="1:18" ht="21" thickBot="1">
      <c r="A4" s="412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P4" s="55"/>
      <c r="Q4" s="55"/>
      <c r="R4" s="404" t="s">
        <v>167</v>
      </c>
    </row>
    <row r="5" spans="1:18" ht="13.5" thickBot="1">
      <c r="A5" s="423"/>
      <c r="B5" s="27" t="s">
        <v>168</v>
      </c>
      <c r="C5" s="28" t="s">
        <v>135</v>
      </c>
      <c r="D5" s="29" t="s">
        <v>136</v>
      </c>
      <c r="E5" s="29" t="s">
        <v>169</v>
      </c>
      <c r="F5" s="29" t="s">
        <v>138</v>
      </c>
      <c r="G5" s="29" t="s">
        <v>139</v>
      </c>
      <c r="H5" s="29" t="s">
        <v>140</v>
      </c>
      <c r="I5" s="29" t="s">
        <v>170</v>
      </c>
      <c r="J5" s="29" t="s">
        <v>142</v>
      </c>
      <c r="K5" s="29" t="s">
        <v>143</v>
      </c>
      <c r="L5" s="29" t="s">
        <v>171</v>
      </c>
      <c r="M5" s="29" t="s">
        <v>145</v>
      </c>
      <c r="N5" s="30" t="s">
        <v>146</v>
      </c>
      <c r="O5" s="417"/>
      <c r="P5" s="20"/>
      <c r="Q5" s="20"/>
      <c r="R5" s="405"/>
    </row>
    <row r="6" spans="1:18" ht="12.75">
      <c r="A6" s="117" t="s">
        <v>172</v>
      </c>
      <c r="B6" s="32" t="s">
        <v>173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>
        <v>0</v>
      </c>
      <c r="P6" s="20"/>
      <c r="Q6" s="20"/>
      <c r="R6" s="35" t="s">
        <v>173</v>
      </c>
    </row>
    <row r="7" spans="1:18" ht="12.75">
      <c r="A7" s="117" t="s">
        <v>174</v>
      </c>
      <c r="B7" s="36" t="s">
        <v>173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7">
        <v>0</v>
      </c>
      <c r="P7" s="20"/>
      <c r="Q7" s="20"/>
      <c r="R7" s="38" t="s">
        <v>173</v>
      </c>
    </row>
    <row r="8" spans="1:18" ht="12.75">
      <c r="A8" s="117" t="s">
        <v>175</v>
      </c>
      <c r="B8" s="36" t="s">
        <v>173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7">
        <v>0</v>
      </c>
      <c r="P8" s="20"/>
      <c r="Q8" s="20"/>
      <c r="R8" s="38" t="s">
        <v>173</v>
      </c>
    </row>
    <row r="9" spans="1:18" ht="12.75">
      <c r="A9" s="117" t="s">
        <v>176</v>
      </c>
      <c r="B9" s="36" t="s">
        <v>173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7">
        <v>0</v>
      </c>
      <c r="P9" s="20"/>
      <c r="Q9" s="20"/>
      <c r="R9" s="38" t="s">
        <v>173</v>
      </c>
    </row>
    <row r="10" spans="1:18" ht="12.75">
      <c r="A10" s="117" t="s">
        <v>177</v>
      </c>
      <c r="B10" s="36" t="s">
        <v>173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7">
        <v>0</v>
      </c>
      <c r="P10" s="20"/>
      <c r="Q10" s="20"/>
      <c r="R10" s="38" t="s">
        <v>173</v>
      </c>
    </row>
    <row r="11" spans="1:18" ht="12.75">
      <c r="A11" s="117" t="s">
        <v>178</v>
      </c>
      <c r="B11" s="36" t="s">
        <v>179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7">
        <v>0</v>
      </c>
      <c r="P11" s="20"/>
      <c r="Q11" s="20"/>
      <c r="R11" s="38" t="s">
        <v>180</v>
      </c>
    </row>
    <row r="12" spans="1:22" ht="12.75">
      <c r="A12" s="117" t="s">
        <v>181</v>
      </c>
      <c r="B12" s="36" t="s">
        <v>182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7">
        <v>0</v>
      </c>
      <c r="P12" s="20"/>
      <c r="Q12" s="20"/>
      <c r="R12" s="38" t="s">
        <v>180</v>
      </c>
      <c r="V12" s="19"/>
    </row>
    <row r="13" spans="1:18" ht="12.75">
      <c r="A13" s="117" t="s">
        <v>183</v>
      </c>
      <c r="B13" s="36" t="s">
        <v>184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7">
        <v>0</v>
      </c>
      <c r="P13" s="20"/>
      <c r="Q13" s="20"/>
      <c r="R13" s="38" t="s">
        <v>185</v>
      </c>
    </row>
    <row r="14" spans="1:18" ht="12.75">
      <c r="A14" s="117" t="s">
        <v>186</v>
      </c>
      <c r="B14" s="36" t="s">
        <v>173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7">
        <v>0</v>
      </c>
      <c r="P14" s="20"/>
      <c r="Q14" s="20"/>
      <c r="R14" s="38" t="s">
        <v>173</v>
      </c>
    </row>
    <row r="15" spans="1:18" ht="12.75">
      <c r="A15" s="117" t="s">
        <v>187</v>
      </c>
      <c r="B15" s="36" t="s">
        <v>173</v>
      </c>
      <c r="C15" s="33"/>
      <c r="D15" s="33">
        <v>0.5</v>
      </c>
      <c r="E15" s="33">
        <v>0.5</v>
      </c>
      <c r="F15" s="33">
        <v>1.5</v>
      </c>
      <c r="G15" s="33">
        <v>0.5</v>
      </c>
      <c r="H15" s="33">
        <v>1</v>
      </c>
      <c r="I15" s="33">
        <v>0.5</v>
      </c>
      <c r="J15" s="33">
        <v>0.5</v>
      </c>
      <c r="K15" s="33">
        <v>1</v>
      </c>
      <c r="L15" s="33">
        <v>0.5</v>
      </c>
      <c r="M15" s="33">
        <v>1</v>
      </c>
      <c r="N15" s="33">
        <v>1</v>
      </c>
      <c r="O15" s="37">
        <v>8.5</v>
      </c>
      <c r="P15" s="20"/>
      <c r="Q15" s="20"/>
      <c r="R15" s="38" t="s">
        <v>173</v>
      </c>
    </row>
    <row r="16" spans="1:18" ht="12.75">
      <c r="A16" s="117" t="s">
        <v>189</v>
      </c>
      <c r="B16" s="36" t="s">
        <v>173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7">
        <v>0</v>
      </c>
      <c r="P16" s="20">
        <f>SUM(C16:O16)</f>
        <v>0</v>
      </c>
      <c r="Q16" s="20"/>
      <c r="R16" s="38" t="s">
        <v>173</v>
      </c>
    </row>
    <row r="17" spans="1:18" ht="12.75">
      <c r="A17" s="117" t="s">
        <v>190</v>
      </c>
      <c r="B17" s="36" t="s">
        <v>168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7">
        <v>0</v>
      </c>
      <c r="P17" s="20"/>
      <c r="Q17" s="20"/>
      <c r="R17" s="38" t="s">
        <v>191</v>
      </c>
    </row>
    <row r="18" spans="1:18" ht="12.75">
      <c r="A18" s="117" t="s">
        <v>192</v>
      </c>
      <c r="B18" s="36" t="s">
        <v>168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7">
        <v>0</v>
      </c>
      <c r="P18" s="20"/>
      <c r="Q18" s="20"/>
      <c r="R18" s="38" t="s">
        <v>191</v>
      </c>
    </row>
    <row r="19" spans="1:18" ht="12.75">
      <c r="A19" s="117" t="s">
        <v>193</v>
      </c>
      <c r="B19" s="36" t="s">
        <v>168</v>
      </c>
      <c r="C19" s="33">
        <v>150</v>
      </c>
      <c r="D19" s="33">
        <v>141</v>
      </c>
      <c r="E19" s="33">
        <v>142</v>
      </c>
      <c r="F19" s="33">
        <v>150</v>
      </c>
      <c r="G19" s="33">
        <v>140</v>
      </c>
      <c r="H19" s="33">
        <v>150</v>
      </c>
      <c r="I19" s="33">
        <v>140</v>
      </c>
      <c r="J19" s="33">
        <v>150</v>
      </c>
      <c r="K19" s="33">
        <v>142</v>
      </c>
      <c r="L19" s="33">
        <v>150</v>
      </c>
      <c r="M19" s="33">
        <v>160</v>
      </c>
      <c r="N19" s="33">
        <v>165</v>
      </c>
      <c r="O19" s="39">
        <v>1780</v>
      </c>
      <c r="P19" s="20">
        <f>SUM(C19:O19)</f>
        <v>3560</v>
      </c>
      <c r="Q19" s="20"/>
      <c r="R19" s="38" t="s">
        <v>191</v>
      </c>
    </row>
    <row r="20" spans="1:18" ht="12.75">
      <c r="A20" s="117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>
        <v>0</v>
      </c>
      <c r="P20" s="20"/>
      <c r="Q20" s="20"/>
      <c r="R20" s="38" t="s">
        <v>196</v>
      </c>
    </row>
    <row r="21" spans="1:18" ht="12.75">
      <c r="A21" s="117" t="s">
        <v>197</v>
      </c>
      <c r="B21" s="36" t="s">
        <v>173</v>
      </c>
      <c r="C21" s="33"/>
      <c r="D21" s="33"/>
      <c r="E21" s="33"/>
      <c r="F21" s="33"/>
      <c r="G21" s="33">
        <v>2</v>
      </c>
      <c r="H21" s="33"/>
      <c r="I21" s="33"/>
      <c r="J21" s="33"/>
      <c r="K21" s="33"/>
      <c r="L21" s="33"/>
      <c r="M21" s="33"/>
      <c r="N21" s="33">
        <v>3</v>
      </c>
      <c r="O21" s="37">
        <v>5</v>
      </c>
      <c r="P21" s="20"/>
      <c r="Q21" s="20"/>
      <c r="R21" s="38" t="s">
        <v>173</v>
      </c>
    </row>
    <row r="22" spans="1:18" ht="12.75">
      <c r="A22" s="117" t="s">
        <v>198</v>
      </c>
      <c r="B22" s="36" t="s">
        <v>173</v>
      </c>
      <c r="C22" s="33"/>
      <c r="D22" s="33"/>
      <c r="E22" s="33"/>
      <c r="F22" s="33"/>
      <c r="G22" s="33">
        <v>2</v>
      </c>
      <c r="H22" s="33"/>
      <c r="I22" s="33"/>
      <c r="J22" s="33"/>
      <c r="K22" s="33"/>
      <c r="L22" s="33"/>
      <c r="M22" s="33"/>
      <c r="N22" s="33">
        <v>3</v>
      </c>
      <c r="O22" s="37">
        <v>5</v>
      </c>
      <c r="P22" s="20"/>
      <c r="Q22" s="20"/>
      <c r="R22" s="38" t="s">
        <v>173</v>
      </c>
    </row>
    <row r="23" spans="1:18" ht="12.75">
      <c r="A23" s="117" t="s">
        <v>199</v>
      </c>
      <c r="B23" s="36" t="s">
        <v>179</v>
      </c>
      <c r="C23" s="33"/>
      <c r="D23" s="33"/>
      <c r="E23" s="33"/>
      <c r="F23" s="33">
        <v>7</v>
      </c>
      <c r="G23" s="33"/>
      <c r="H23" s="33"/>
      <c r="I23" s="33"/>
      <c r="J23" s="33"/>
      <c r="K23" s="33"/>
      <c r="L23" s="33"/>
      <c r="M23" s="33"/>
      <c r="N23" s="33">
        <v>10</v>
      </c>
      <c r="O23" s="37">
        <v>17</v>
      </c>
      <c r="P23" s="20"/>
      <c r="Q23" s="20"/>
      <c r="R23" s="38" t="s">
        <v>180</v>
      </c>
    </row>
    <row r="24" spans="1:18" ht="12.75">
      <c r="A24" s="117" t="s">
        <v>200</v>
      </c>
      <c r="B24" s="36" t="s">
        <v>173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>
        <v>0</v>
      </c>
      <c r="P24" s="20"/>
      <c r="Q24" s="20"/>
      <c r="R24" s="38" t="s">
        <v>173</v>
      </c>
    </row>
    <row r="25" spans="1:18" ht="12.75">
      <c r="A25" s="117" t="s">
        <v>201</v>
      </c>
      <c r="B25" s="36" t="s">
        <v>173</v>
      </c>
      <c r="C25" s="33">
        <v>1</v>
      </c>
      <c r="D25" s="33">
        <v>1.5</v>
      </c>
      <c r="E25" s="33"/>
      <c r="F25" s="33">
        <v>1</v>
      </c>
      <c r="G25" s="33"/>
      <c r="H25" s="33">
        <v>1</v>
      </c>
      <c r="I25" s="33"/>
      <c r="J25" s="33">
        <v>1.5</v>
      </c>
      <c r="K25" s="33">
        <v>2</v>
      </c>
      <c r="L25" s="40">
        <v>1.5</v>
      </c>
      <c r="M25" s="33">
        <v>2</v>
      </c>
      <c r="N25" s="33">
        <v>2</v>
      </c>
      <c r="O25" s="37">
        <v>13.5</v>
      </c>
      <c r="P25" s="20"/>
      <c r="Q25" s="20"/>
      <c r="R25" s="38" t="s">
        <v>173</v>
      </c>
    </row>
    <row r="26" spans="1:18" ht="12.75">
      <c r="A26" s="117" t="s">
        <v>202</v>
      </c>
      <c r="B26" s="36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>
        <v>0</v>
      </c>
      <c r="P26" s="20"/>
      <c r="Q26" s="20"/>
      <c r="R26" s="38" t="s">
        <v>173</v>
      </c>
    </row>
    <row r="27" spans="1:18" ht="12.75">
      <c r="A27" s="117" t="s">
        <v>203</v>
      </c>
      <c r="B27" s="36" t="s">
        <v>179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>
        <v>0</v>
      </c>
      <c r="P27" s="20"/>
      <c r="Q27" s="20"/>
      <c r="R27" s="38" t="s">
        <v>180</v>
      </c>
    </row>
    <row r="28" spans="1:18" ht="12.75">
      <c r="A28" s="117" t="s">
        <v>204</v>
      </c>
      <c r="B28" s="36" t="s">
        <v>173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7">
        <v>0</v>
      </c>
      <c r="P28" s="20"/>
      <c r="Q28" s="20"/>
      <c r="R28" s="38" t="s">
        <v>173</v>
      </c>
    </row>
    <row r="29" spans="1:18" ht="12.75">
      <c r="A29" s="117" t="s">
        <v>205</v>
      </c>
      <c r="B29" s="36" t="s">
        <v>173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7">
        <v>0</v>
      </c>
      <c r="P29" s="20"/>
      <c r="Q29" s="20"/>
      <c r="R29" s="38" t="s">
        <v>173</v>
      </c>
    </row>
    <row r="30" spans="1:18" ht="12.75">
      <c r="A30" s="118" t="s">
        <v>206</v>
      </c>
      <c r="B30" s="79" t="s">
        <v>168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114"/>
      <c r="O30" s="115">
        <v>0</v>
      </c>
      <c r="P30" s="20"/>
      <c r="Q30" s="20"/>
      <c r="R30" s="116" t="s">
        <v>191</v>
      </c>
    </row>
    <row r="31" spans="1:18" ht="12.75">
      <c r="A31" s="117" t="s">
        <v>268</v>
      </c>
      <c r="B31" s="24" t="s">
        <v>185</v>
      </c>
      <c r="C31" s="24"/>
      <c r="D31" s="24"/>
      <c r="E31" s="24">
        <v>3</v>
      </c>
      <c r="F31" s="24"/>
      <c r="G31" s="24"/>
      <c r="H31" s="24"/>
      <c r="I31" s="24">
        <v>2</v>
      </c>
      <c r="J31" s="24"/>
      <c r="K31" s="24"/>
      <c r="L31" s="24"/>
      <c r="M31" s="24">
        <v>4</v>
      </c>
      <c r="N31" s="24"/>
      <c r="O31" s="41">
        <v>9</v>
      </c>
      <c r="P31" s="24"/>
      <c r="Q31" s="24"/>
      <c r="R31" s="121" t="s">
        <v>185</v>
      </c>
    </row>
    <row r="32" spans="1:18" ht="13.5" thickBot="1">
      <c r="A32" s="119" t="s">
        <v>270</v>
      </c>
      <c r="B32" s="60" t="s">
        <v>185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2</v>
      </c>
      <c r="N32" s="60">
        <v>0</v>
      </c>
      <c r="O32" s="120">
        <v>12</v>
      </c>
      <c r="P32" s="60"/>
      <c r="Q32" s="60"/>
      <c r="R32" s="112" t="s">
        <v>185</v>
      </c>
    </row>
    <row r="33" ht="12.75">
      <c r="I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5" width="10.140625" style="0" customWidth="1"/>
    <col min="16" max="17" width="9.140625" style="0" hidden="1" customWidth="1"/>
  </cols>
  <sheetData>
    <row r="1" spans="1:15" ht="12.75">
      <c r="A1" s="406" t="s">
        <v>215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</row>
    <row r="4" spans="1:18" ht="21" thickBot="1">
      <c r="A4" s="412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P4" s="55"/>
      <c r="Q4" s="55"/>
      <c r="R4" s="404" t="s">
        <v>167</v>
      </c>
    </row>
    <row r="5" spans="1:18" ht="13.5" thickBot="1">
      <c r="A5" s="424"/>
      <c r="B5" s="47" t="s">
        <v>168</v>
      </c>
      <c r="C5" s="48" t="s">
        <v>135</v>
      </c>
      <c r="D5" s="49" t="s">
        <v>136</v>
      </c>
      <c r="E5" s="49" t="s">
        <v>169</v>
      </c>
      <c r="F5" s="49" t="s">
        <v>138</v>
      </c>
      <c r="G5" s="49" t="s">
        <v>139</v>
      </c>
      <c r="H5" s="49" t="s">
        <v>140</v>
      </c>
      <c r="I5" s="49" t="s">
        <v>170</v>
      </c>
      <c r="J5" s="49" t="s">
        <v>142</v>
      </c>
      <c r="K5" s="49" t="s">
        <v>143</v>
      </c>
      <c r="L5" s="49" t="s">
        <v>171</v>
      </c>
      <c r="M5" s="49" t="s">
        <v>145</v>
      </c>
      <c r="N5" s="50" t="s">
        <v>146</v>
      </c>
      <c r="O5" s="425"/>
      <c r="P5" s="20"/>
      <c r="Q5" s="20"/>
      <c r="R5" s="405"/>
    </row>
    <row r="6" spans="1:18" ht="12.75">
      <c r="A6" s="51" t="s">
        <v>172</v>
      </c>
      <c r="B6" s="52" t="s">
        <v>173</v>
      </c>
      <c r="C6" s="53">
        <v>2</v>
      </c>
      <c r="D6" s="53">
        <v>2</v>
      </c>
      <c r="E6" s="53">
        <v>2.5</v>
      </c>
      <c r="F6" s="53">
        <v>3</v>
      </c>
      <c r="G6" s="53">
        <v>2</v>
      </c>
      <c r="H6" s="53">
        <v>2.25</v>
      </c>
      <c r="I6" s="53">
        <v>2</v>
      </c>
      <c r="J6" s="53">
        <v>2.5</v>
      </c>
      <c r="K6" s="53">
        <v>6</v>
      </c>
      <c r="L6" s="53">
        <v>2</v>
      </c>
      <c r="M6" s="53">
        <v>2.75</v>
      </c>
      <c r="N6" s="53">
        <v>2.1</v>
      </c>
      <c r="O6" s="54">
        <v>31.1</v>
      </c>
      <c r="P6" s="55">
        <f>SUM(C6:O6)</f>
        <v>62.2</v>
      </c>
      <c r="Q6" s="55"/>
      <c r="R6" s="35" t="s">
        <v>173</v>
      </c>
    </row>
    <row r="7" spans="1:18" ht="12.75">
      <c r="A7" s="56" t="s">
        <v>174</v>
      </c>
      <c r="B7" s="36" t="s">
        <v>173</v>
      </c>
      <c r="C7" s="33"/>
      <c r="D7" s="57">
        <v>10</v>
      </c>
      <c r="E7" s="58"/>
      <c r="F7" s="58"/>
      <c r="G7" s="57">
        <v>101</v>
      </c>
      <c r="H7" s="33"/>
      <c r="I7" s="33"/>
      <c r="J7" s="33"/>
      <c r="K7" s="33"/>
      <c r="L7" s="33"/>
      <c r="M7" s="33"/>
      <c r="N7" s="33">
        <v>50</v>
      </c>
      <c r="O7" s="59">
        <v>161</v>
      </c>
      <c r="P7" s="20"/>
      <c r="Q7" s="20"/>
      <c r="R7" s="38" t="s">
        <v>173</v>
      </c>
    </row>
    <row r="8" spans="1:18" ht="12.75">
      <c r="A8" s="56" t="s">
        <v>175</v>
      </c>
      <c r="B8" s="36" t="s">
        <v>173</v>
      </c>
      <c r="C8" s="33"/>
      <c r="D8" s="33"/>
      <c r="E8" s="33"/>
      <c r="F8" s="33"/>
      <c r="G8" s="33"/>
      <c r="H8" s="33"/>
      <c r="I8" s="58">
        <v>15</v>
      </c>
      <c r="J8" s="58"/>
      <c r="K8" s="58"/>
      <c r="L8" s="58"/>
      <c r="M8" s="58"/>
      <c r="N8" s="58"/>
      <c r="O8" s="59">
        <v>15</v>
      </c>
      <c r="P8" s="20">
        <f>SUM(C8:O8)</f>
        <v>30</v>
      </c>
      <c r="Q8" s="20"/>
      <c r="R8" s="38" t="s">
        <v>173</v>
      </c>
    </row>
    <row r="9" spans="1:18" ht="12.75">
      <c r="A9" s="56" t="s">
        <v>176</v>
      </c>
      <c r="B9" s="36" t="s">
        <v>173</v>
      </c>
      <c r="C9" s="33">
        <v>0.8</v>
      </c>
      <c r="D9" s="33">
        <v>0.8</v>
      </c>
      <c r="E9" s="33">
        <v>1</v>
      </c>
      <c r="F9" s="33">
        <v>1</v>
      </c>
      <c r="G9" s="33">
        <v>0.8</v>
      </c>
      <c r="H9" s="33">
        <v>1.05</v>
      </c>
      <c r="I9" s="33">
        <v>0.8</v>
      </c>
      <c r="J9" s="33">
        <v>1</v>
      </c>
      <c r="K9" s="33">
        <v>1.1</v>
      </c>
      <c r="L9" s="33">
        <v>0.8</v>
      </c>
      <c r="M9" s="33">
        <v>1</v>
      </c>
      <c r="N9" s="33">
        <v>0.6</v>
      </c>
      <c r="O9" s="37">
        <v>10.75</v>
      </c>
      <c r="P9" s="20"/>
      <c r="Q9" s="20"/>
      <c r="R9" s="38" t="s">
        <v>173</v>
      </c>
    </row>
    <row r="10" spans="1:18" ht="12.75">
      <c r="A10" s="56" t="s">
        <v>177</v>
      </c>
      <c r="B10" s="36" t="s">
        <v>173</v>
      </c>
      <c r="C10" s="33">
        <v>16</v>
      </c>
      <c r="D10" s="33"/>
      <c r="E10" s="33">
        <v>5</v>
      </c>
      <c r="F10" s="33"/>
      <c r="G10" s="33">
        <v>25</v>
      </c>
      <c r="H10" s="33">
        <v>25</v>
      </c>
      <c r="I10" s="33">
        <v>10</v>
      </c>
      <c r="J10" s="33"/>
      <c r="K10" s="33">
        <v>6</v>
      </c>
      <c r="L10" s="33"/>
      <c r="M10" s="33">
        <v>10</v>
      </c>
      <c r="N10" s="33"/>
      <c r="O10" s="37">
        <v>97</v>
      </c>
      <c r="P10" s="20"/>
      <c r="Q10" s="20"/>
      <c r="R10" s="38" t="s">
        <v>173</v>
      </c>
    </row>
    <row r="11" spans="1:18" ht="12.75">
      <c r="A11" s="56" t="s">
        <v>178</v>
      </c>
      <c r="B11" s="36" t="s">
        <v>179</v>
      </c>
      <c r="C11" s="33">
        <v>46</v>
      </c>
      <c r="D11" s="33">
        <v>48</v>
      </c>
      <c r="E11" s="33">
        <v>71</v>
      </c>
      <c r="F11" s="33">
        <v>65</v>
      </c>
      <c r="G11" s="33">
        <v>72</v>
      </c>
      <c r="H11" s="33">
        <v>60</v>
      </c>
      <c r="I11" s="33">
        <v>80</v>
      </c>
      <c r="J11" s="33">
        <v>71</v>
      </c>
      <c r="K11" s="33">
        <v>71</v>
      </c>
      <c r="L11" s="33">
        <v>58</v>
      </c>
      <c r="M11" s="33">
        <v>78</v>
      </c>
      <c r="N11" s="33">
        <v>53</v>
      </c>
      <c r="O11" s="37">
        <v>773</v>
      </c>
      <c r="P11" s="20"/>
      <c r="Q11" s="20"/>
      <c r="R11" s="38" t="s">
        <v>180</v>
      </c>
    </row>
    <row r="12" spans="1:23" ht="12.75">
      <c r="A12" s="56" t="s">
        <v>181</v>
      </c>
      <c r="B12" s="36" t="s">
        <v>182</v>
      </c>
      <c r="C12" s="33"/>
      <c r="D12" s="33"/>
      <c r="E12" s="33"/>
      <c r="F12" s="33"/>
      <c r="G12" s="33"/>
      <c r="H12" s="33"/>
      <c r="I12" s="33">
        <v>30</v>
      </c>
      <c r="J12" s="33"/>
      <c r="K12" s="33"/>
      <c r="L12" s="33">
        <v>5</v>
      </c>
      <c r="M12" s="33"/>
      <c r="N12" s="33"/>
      <c r="O12" s="37">
        <v>35</v>
      </c>
      <c r="P12" s="20"/>
      <c r="Q12" s="20"/>
      <c r="R12" s="38" t="s">
        <v>180</v>
      </c>
      <c r="W12" s="19"/>
    </row>
    <row r="13" spans="1:18" ht="12.75">
      <c r="A13" s="56" t="s">
        <v>183</v>
      </c>
      <c r="B13" s="36" t="s">
        <v>184</v>
      </c>
      <c r="C13" s="33"/>
      <c r="D13" s="33"/>
      <c r="E13" s="33"/>
      <c r="F13" s="33"/>
      <c r="G13" s="33"/>
      <c r="H13" s="33"/>
      <c r="I13" s="33">
        <v>8</v>
      </c>
      <c r="J13" s="33"/>
      <c r="K13" s="33"/>
      <c r="L13" s="33"/>
      <c r="M13" s="33"/>
      <c r="N13" s="33"/>
      <c r="O13" s="37">
        <v>8</v>
      </c>
      <c r="P13" s="20"/>
      <c r="Q13" s="20"/>
      <c r="R13" s="38" t="s">
        <v>185</v>
      </c>
    </row>
    <row r="14" spans="1:18" ht="12.75">
      <c r="A14" s="56" t="s">
        <v>186</v>
      </c>
      <c r="B14" s="36" t="s">
        <v>173</v>
      </c>
      <c r="C14" s="33">
        <v>1.5</v>
      </c>
      <c r="D14" s="33">
        <v>1</v>
      </c>
      <c r="E14" s="33">
        <v>1.5</v>
      </c>
      <c r="F14" s="33">
        <v>2</v>
      </c>
      <c r="G14" s="33">
        <v>1.25</v>
      </c>
      <c r="H14" s="33">
        <v>1</v>
      </c>
      <c r="I14" s="33"/>
      <c r="J14" s="33">
        <v>1</v>
      </c>
      <c r="K14" s="33">
        <v>1</v>
      </c>
      <c r="L14" s="33"/>
      <c r="M14" s="33">
        <v>1</v>
      </c>
      <c r="N14" s="33">
        <v>0.75</v>
      </c>
      <c r="O14" s="59">
        <v>12</v>
      </c>
      <c r="P14" s="20"/>
      <c r="Q14" s="20"/>
      <c r="R14" s="38" t="s">
        <v>173</v>
      </c>
    </row>
    <row r="15" spans="1:18" ht="12.75">
      <c r="A15" s="56" t="s">
        <v>187</v>
      </c>
      <c r="B15" s="36" t="s">
        <v>173</v>
      </c>
      <c r="C15" s="33">
        <v>1.15</v>
      </c>
      <c r="D15" s="33">
        <v>10</v>
      </c>
      <c r="E15" s="33">
        <v>10</v>
      </c>
      <c r="F15" s="33">
        <v>11.5</v>
      </c>
      <c r="G15" s="33">
        <v>9</v>
      </c>
      <c r="H15" s="33">
        <v>11</v>
      </c>
      <c r="I15" s="33">
        <v>11</v>
      </c>
      <c r="J15" s="33">
        <v>10.5</v>
      </c>
      <c r="K15" s="33">
        <v>10</v>
      </c>
      <c r="L15" s="33">
        <v>12.5</v>
      </c>
      <c r="M15" s="33">
        <v>12.5</v>
      </c>
      <c r="N15" s="33">
        <v>8.5</v>
      </c>
      <c r="O15" s="37">
        <v>128</v>
      </c>
      <c r="P15" s="20"/>
      <c r="Q15" s="20"/>
      <c r="R15" s="38" t="s">
        <v>173</v>
      </c>
    </row>
    <row r="16" spans="1:18" ht="12.75">
      <c r="A16" s="56" t="s">
        <v>189</v>
      </c>
      <c r="B16" s="36" t="s">
        <v>173</v>
      </c>
      <c r="C16" s="33">
        <v>3.44</v>
      </c>
      <c r="D16" s="33">
        <v>1</v>
      </c>
      <c r="E16" s="33">
        <v>1</v>
      </c>
      <c r="F16" s="33">
        <v>2.4</v>
      </c>
      <c r="G16" s="33">
        <v>1</v>
      </c>
      <c r="H16" s="33">
        <v>0.825</v>
      </c>
      <c r="I16" s="33">
        <v>1.593</v>
      </c>
      <c r="J16" s="33">
        <v>1.5</v>
      </c>
      <c r="K16" s="33">
        <v>1</v>
      </c>
      <c r="L16" s="33">
        <v>2</v>
      </c>
      <c r="M16" s="33"/>
      <c r="N16" s="33"/>
      <c r="O16" s="37">
        <v>15.75</v>
      </c>
      <c r="P16" s="20">
        <f>SUM(C16:O16)</f>
        <v>31.508</v>
      </c>
      <c r="Q16" s="20"/>
      <c r="R16" s="38" t="s">
        <v>173</v>
      </c>
    </row>
    <row r="17" spans="1:18" ht="12.75">
      <c r="A17" s="56" t="s">
        <v>190</v>
      </c>
      <c r="B17" s="36" t="s">
        <v>168</v>
      </c>
      <c r="C17" s="33"/>
      <c r="D17" s="33"/>
      <c r="E17" s="33"/>
      <c r="F17" s="33"/>
      <c r="G17" s="33">
        <v>400</v>
      </c>
      <c r="H17" s="33"/>
      <c r="I17" s="33"/>
      <c r="J17" s="33"/>
      <c r="K17" s="33"/>
      <c r="L17" s="33"/>
      <c r="M17" s="33"/>
      <c r="N17" s="33"/>
      <c r="O17" s="37">
        <v>400</v>
      </c>
      <c r="P17" s="20"/>
      <c r="Q17" s="20"/>
      <c r="R17" s="38" t="s">
        <v>191</v>
      </c>
    </row>
    <row r="18" spans="1:18" ht="12.75">
      <c r="A18" s="56" t="s">
        <v>192</v>
      </c>
      <c r="B18" s="36" t="s">
        <v>168</v>
      </c>
      <c r="C18" s="33">
        <v>70</v>
      </c>
      <c r="D18" s="33">
        <v>100</v>
      </c>
      <c r="E18" s="33">
        <v>70</v>
      </c>
      <c r="F18" s="33">
        <v>80</v>
      </c>
      <c r="G18" s="33">
        <v>100</v>
      </c>
      <c r="H18" s="33">
        <v>120</v>
      </c>
      <c r="I18" s="33">
        <v>80</v>
      </c>
      <c r="J18" s="33">
        <v>80</v>
      </c>
      <c r="K18" s="33">
        <v>280</v>
      </c>
      <c r="L18" s="33">
        <v>100</v>
      </c>
      <c r="M18" s="33">
        <v>200</v>
      </c>
      <c r="N18" s="33">
        <v>80</v>
      </c>
      <c r="O18" s="39">
        <v>1360</v>
      </c>
      <c r="P18" s="20"/>
      <c r="Q18" s="20"/>
      <c r="R18" s="38" t="s">
        <v>191</v>
      </c>
    </row>
    <row r="19" spans="1:18" ht="12.75">
      <c r="A19" s="56" t="s">
        <v>193</v>
      </c>
      <c r="B19" s="36" t="s">
        <v>168</v>
      </c>
      <c r="C19" s="33">
        <v>1970</v>
      </c>
      <c r="D19" s="33">
        <v>1421</v>
      </c>
      <c r="E19" s="33">
        <v>2052</v>
      </c>
      <c r="F19" s="33">
        <v>1660</v>
      </c>
      <c r="G19" s="33">
        <v>1810</v>
      </c>
      <c r="H19" s="33">
        <v>1750</v>
      </c>
      <c r="I19" s="33">
        <v>1430</v>
      </c>
      <c r="J19" s="33">
        <v>1880</v>
      </c>
      <c r="K19" s="33">
        <v>1582</v>
      </c>
      <c r="L19" s="33">
        <v>1800</v>
      </c>
      <c r="M19" s="33">
        <v>1795</v>
      </c>
      <c r="N19" s="33">
        <v>1415</v>
      </c>
      <c r="O19" s="39">
        <v>20565</v>
      </c>
      <c r="P19" s="20"/>
      <c r="Q19" s="20"/>
      <c r="R19" s="38" t="s">
        <v>191</v>
      </c>
    </row>
    <row r="20" spans="1:18" ht="12.75">
      <c r="A20" s="56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>
        <v>5</v>
      </c>
      <c r="M20" s="33"/>
      <c r="N20" s="33"/>
      <c r="O20" s="37">
        <v>5</v>
      </c>
      <c r="P20" s="20"/>
      <c r="Q20" s="20"/>
      <c r="R20" s="38" t="s">
        <v>196</v>
      </c>
    </row>
    <row r="21" spans="1:18" ht="12.75">
      <c r="A21" s="56" t="s">
        <v>197</v>
      </c>
      <c r="B21" s="36" t="s">
        <v>173</v>
      </c>
      <c r="C21" s="33"/>
      <c r="D21" s="33"/>
      <c r="E21" s="33"/>
      <c r="F21" s="33"/>
      <c r="G21" s="33">
        <v>5</v>
      </c>
      <c r="H21" s="33"/>
      <c r="I21" s="33"/>
      <c r="J21" s="33"/>
      <c r="K21" s="33"/>
      <c r="L21" s="33"/>
      <c r="M21" s="33"/>
      <c r="N21" s="33">
        <v>3</v>
      </c>
      <c r="O21" s="37">
        <v>8</v>
      </c>
      <c r="P21" s="20"/>
      <c r="Q21" s="20"/>
      <c r="R21" s="38" t="s">
        <v>173</v>
      </c>
    </row>
    <row r="22" spans="1:18" ht="12.75">
      <c r="A22" s="56" t="s">
        <v>198</v>
      </c>
      <c r="B22" s="36" t="s">
        <v>173</v>
      </c>
      <c r="C22" s="33">
        <v>2.7</v>
      </c>
      <c r="D22" s="33"/>
      <c r="E22" s="33">
        <v>1</v>
      </c>
      <c r="F22" s="33">
        <v>3.2</v>
      </c>
      <c r="G22" s="33">
        <v>5</v>
      </c>
      <c r="H22" s="33">
        <v>2.84</v>
      </c>
      <c r="I22" s="33">
        <v>3.85</v>
      </c>
      <c r="J22" s="33">
        <v>1</v>
      </c>
      <c r="K22" s="33">
        <v>1</v>
      </c>
      <c r="L22" s="33">
        <v>1</v>
      </c>
      <c r="M22" s="33">
        <v>2</v>
      </c>
      <c r="N22" s="33">
        <v>3</v>
      </c>
      <c r="O22" s="37">
        <v>26.59</v>
      </c>
      <c r="P22" s="20"/>
      <c r="Q22" s="20"/>
      <c r="R22" s="38" t="s">
        <v>173</v>
      </c>
    </row>
    <row r="23" spans="1:18" ht="12.75">
      <c r="A23" s="56" t="s">
        <v>199</v>
      </c>
      <c r="B23" s="36" t="s">
        <v>179</v>
      </c>
      <c r="C23" s="33"/>
      <c r="D23" s="33"/>
      <c r="E23" s="33"/>
      <c r="F23" s="33">
        <v>17</v>
      </c>
      <c r="G23" s="33">
        <v>46</v>
      </c>
      <c r="H23" s="33"/>
      <c r="I23" s="33"/>
      <c r="J23" s="33"/>
      <c r="K23" s="33"/>
      <c r="L23" s="33"/>
      <c r="M23" s="33">
        <v>14</v>
      </c>
      <c r="N23" s="33">
        <v>106</v>
      </c>
      <c r="O23" s="37">
        <v>183</v>
      </c>
      <c r="P23" s="20"/>
      <c r="Q23" s="20"/>
      <c r="R23" s="38" t="s">
        <v>180</v>
      </c>
    </row>
    <row r="24" spans="1:18" ht="12.75">
      <c r="A24" s="56" t="s">
        <v>200</v>
      </c>
      <c r="B24" s="36" t="s">
        <v>173</v>
      </c>
      <c r="C24" s="33"/>
      <c r="D24" s="33"/>
      <c r="E24" s="33">
        <v>6</v>
      </c>
      <c r="F24" s="33"/>
      <c r="G24" s="33"/>
      <c r="H24" s="33"/>
      <c r="I24" s="33"/>
      <c r="J24" s="33"/>
      <c r="K24" s="33"/>
      <c r="L24" s="33"/>
      <c r="M24" s="33"/>
      <c r="N24" s="33"/>
      <c r="O24" s="37">
        <v>6</v>
      </c>
      <c r="P24" s="20"/>
      <c r="Q24" s="20"/>
      <c r="R24" s="38" t="s">
        <v>173</v>
      </c>
    </row>
    <row r="25" spans="1:18" ht="12.75">
      <c r="A25" s="56" t="s">
        <v>201</v>
      </c>
      <c r="B25" s="36" t="s">
        <v>173</v>
      </c>
      <c r="C25" s="33">
        <v>11</v>
      </c>
      <c r="D25" s="33">
        <v>8</v>
      </c>
      <c r="E25" s="33">
        <v>8.5</v>
      </c>
      <c r="F25" s="33">
        <v>9.5</v>
      </c>
      <c r="G25" s="33">
        <v>9</v>
      </c>
      <c r="H25" s="33">
        <v>7.5</v>
      </c>
      <c r="I25" s="33">
        <v>6.6</v>
      </c>
      <c r="J25" s="33">
        <v>9.5</v>
      </c>
      <c r="K25" s="33">
        <v>11</v>
      </c>
      <c r="L25" s="40">
        <v>14</v>
      </c>
      <c r="M25" s="33">
        <v>14</v>
      </c>
      <c r="N25" s="33">
        <v>11</v>
      </c>
      <c r="O25" s="37">
        <v>105.1</v>
      </c>
      <c r="P25" s="20"/>
      <c r="Q25" s="20"/>
      <c r="R25" s="38" t="s">
        <v>173</v>
      </c>
    </row>
    <row r="26" spans="1:18" ht="12.75">
      <c r="A26" s="56" t="s">
        <v>202</v>
      </c>
      <c r="B26" s="36" t="s">
        <v>173</v>
      </c>
      <c r="C26" s="33"/>
      <c r="D26" s="33"/>
      <c r="E26" s="33"/>
      <c r="F26" s="33"/>
      <c r="G26" s="33">
        <v>10</v>
      </c>
      <c r="H26" s="33"/>
      <c r="I26" s="33"/>
      <c r="J26" s="33"/>
      <c r="K26" s="33"/>
      <c r="L26" s="33"/>
      <c r="M26" s="33"/>
      <c r="N26" s="33"/>
      <c r="O26" s="37">
        <v>10</v>
      </c>
      <c r="P26" s="20"/>
      <c r="Q26" s="20"/>
      <c r="R26" s="38" t="s">
        <v>173</v>
      </c>
    </row>
    <row r="27" spans="1:18" ht="12.75">
      <c r="A27" s="56" t="s">
        <v>203</v>
      </c>
      <c r="B27" s="36" t="s">
        <v>179</v>
      </c>
      <c r="C27" s="33">
        <v>24</v>
      </c>
      <c r="D27" s="33"/>
      <c r="E27" s="33"/>
      <c r="F27" s="33"/>
      <c r="G27" s="33"/>
      <c r="H27" s="33"/>
      <c r="I27" s="33"/>
      <c r="J27" s="33"/>
      <c r="K27" s="33"/>
      <c r="L27" s="33">
        <v>20</v>
      </c>
      <c r="M27" s="33"/>
      <c r="N27" s="33"/>
      <c r="O27" s="37">
        <v>44</v>
      </c>
      <c r="P27" s="20"/>
      <c r="Q27" s="20"/>
      <c r="R27" s="38" t="s">
        <v>180</v>
      </c>
    </row>
    <row r="28" spans="1:18" ht="12.75">
      <c r="A28" s="56" t="s">
        <v>204</v>
      </c>
      <c r="B28" s="36" t="s">
        <v>216</v>
      </c>
      <c r="C28" s="33"/>
      <c r="D28" s="33"/>
      <c r="E28" s="33"/>
      <c r="F28" s="33"/>
      <c r="G28" s="33"/>
      <c r="H28" s="33">
        <v>200</v>
      </c>
      <c r="I28" s="33"/>
      <c r="J28" s="33"/>
      <c r="K28" s="33"/>
      <c r="L28" s="33"/>
      <c r="M28" s="33"/>
      <c r="N28" s="33"/>
      <c r="O28" s="37">
        <v>0.2</v>
      </c>
      <c r="P28" s="20"/>
      <c r="Q28" s="20"/>
      <c r="R28" s="38" t="s">
        <v>173</v>
      </c>
    </row>
    <row r="29" spans="1:18" ht="12.75">
      <c r="A29" s="56" t="s">
        <v>205</v>
      </c>
      <c r="B29" s="36" t="s">
        <v>216</v>
      </c>
      <c r="C29" s="33"/>
      <c r="D29" s="33"/>
      <c r="E29" s="33"/>
      <c r="F29" s="33"/>
      <c r="G29" s="33"/>
      <c r="H29" s="33"/>
      <c r="I29" s="33">
        <v>1000</v>
      </c>
      <c r="J29" s="33"/>
      <c r="K29" s="33"/>
      <c r="L29" s="33"/>
      <c r="M29" s="33"/>
      <c r="N29" s="33"/>
      <c r="O29" s="37">
        <v>1</v>
      </c>
      <c r="P29" s="20"/>
      <c r="Q29" s="20"/>
      <c r="R29" s="38" t="s">
        <v>173</v>
      </c>
    </row>
    <row r="30" spans="1:18" ht="12.75">
      <c r="A30" s="122" t="s">
        <v>206</v>
      </c>
      <c r="B30" s="79" t="s">
        <v>168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114">
        <v>2500</v>
      </c>
      <c r="O30" s="123">
        <v>2500</v>
      </c>
      <c r="P30" s="20"/>
      <c r="Q30" s="20"/>
      <c r="R30" s="116" t="s">
        <v>191</v>
      </c>
    </row>
    <row r="31" spans="1:18" ht="12.75">
      <c r="A31" s="117" t="s">
        <v>268</v>
      </c>
      <c r="B31" s="24" t="s">
        <v>185</v>
      </c>
      <c r="C31" s="24"/>
      <c r="D31" s="24"/>
      <c r="E31" s="24">
        <v>3</v>
      </c>
      <c r="F31" s="24"/>
      <c r="G31" s="24"/>
      <c r="H31" s="24"/>
      <c r="I31" s="24">
        <v>2</v>
      </c>
      <c r="J31" s="24"/>
      <c r="K31" s="24"/>
      <c r="L31" s="24"/>
      <c r="M31" s="24">
        <v>4</v>
      </c>
      <c r="N31" s="24"/>
      <c r="O31" s="41">
        <v>9</v>
      </c>
      <c r="P31" s="24"/>
      <c r="Q31" s="24"/>
      <c r="R31" s="121" t="s">
        <v>185</v>
      </c>
    </row>
    <row r="32" spans="1:18" ht="13.5" thickBot="1">
      <c r="A32" s="119" t="s">
        <v>270</v>
      </c>
      <c r="B32" s="60" t="s">
        <v>185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2</v>
      </c>
      <c r="N32" s="60">
        <v>0</v>
      </c>
      <c r="O32" s="120">
        <v>12</v>
      </c>
      <c r="P32" s="60"/>
      <c r="Q32" s="60"/>
      <c r="R32" s="112" t="s">
        <v>185</v>
      </c>
    </row>
    <row r="33" ht="13.5" thickBot="1"/>
    <row r="34" spans="1:2" ht="12.75">
      <c r="A34" s="61" t="s">
        <v>217</v>
      </c>
      <c r="B34" s="62" t="s">
        <v>218</v>
      </c>
    </row>
    <row r="35" spans="1:2" ht="12.75">
      <c r="A35" s="63" t="s">
        <v>219</v>
      </c>
      <c r="B35" s="37">
        <v>640.99</v>
      </c>
    </row>
    <row r="36" spans="1:10" ht="12.75">
      <c r="A36" s="63" t="s">
        <v>180</v>
      </c>
      <c r="B36" s="39">
        <v>1035</v>
      </c>
      <c r="J36" s="23"/>
    </row>
    <row r="37" spans="1:2" ht="12.75">
      <c r="A37" s="63" t="s">
        <v>185</v>
      </c>
      <c r="B37" s="37">
        <v>29</v>
      </c>
    </row>
    <row r="38" spans="1:2" ht="12.75">
      <c r="A38" s="63" t="s">
        <v>191</v>
      </c>
      <c r="B38" s="39">
        <v>24825</v>
      </c>
    </row>
    <row r="39" spans="1:2" ht="12.75">
      <c r="A39" s="63" t="s">
        <v>196</v>
      </c>
      <c r="B39" s="37">
        <v>5</v>
      </c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7.57421875" style="0" customWidth="1"/>
    <col min="2" max="2" width="8.57421875" style="0" customWidth="1"/>
    <col min="3" max="3" width="8.00390625" style="0" customWidth="1"/>
    <col min="4" max="4" width="9.8515625" style="0" customWidth="1"/>
    <col min="5" max="5" width="11.28125" style="0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4.57421875" style="0" customWidth="1"/>
    <col min="16" max="17" width="9.140625" style="0" hidden="1" customWidth="1"/>
  </cols>
  <sheetData>
    <row r="1" spans="1:18" ht="12.75" customHeight="1">
      <c r="A1" s="429" t="s">
        <v>220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21"/>
    </row>
    <row r="2" spans="1:18" ht="12.75" customHeigh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3"/>
    </row>
    <row r="3" spans="1:18" ht="13.5" customHeight="1" thickBot="1">
      <c r="A3" s="434"/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</row>
    <row r="4" spans="1:18" ht="21" thickBot="1">
      <c r="A4" s="412" t="s">
        <v>221</v>
      </c>
      <c r="B4" s="414" t="s">
        <v>166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8"/>
      <c r="O4" s="439" t="s">
        <v>11</v>
      </c>
      <c r="R4" s="440" t="s">
        <v>222</v>
      </c>
    </row>
    <row r="5" spans="1:18" ht="13.5" thickBot="1">
      <c r="A5" s="424"/>
      <c r="B5" s="250" t="s">
        <v>168</v>
      </c>
      <c r="C5" s="251" t="s">
        <v>135</v>
      </c>
      <c r="D5" s="252" t="s">
        <v>136</v>
      </c>
      <c r="E5" s="252" t="s">
        <v>169</v>
      </c>
      <c r="F5" s="252" t="s">
        <v>138</v>
      </c>
      <c r="G5" s="252" t="s">
        <v>139</v>
      </c>
      <c r="H5" s="252" t="s">
        <v>140</v>
      </c>
      <c r="I5" s="252" t="s">
        <v>170</v>
      </c>
      <c r="J5" s="252" t="s">
        <v>142</v>
      </c>
      <c r="K5" s="252" t="s">
        <v>143</v>
      </c>
      <c r="L5" s="252" t="s">
        <v>171</v>
      </c>
      <c r="M5" s="252" t="s">
        <v>145</v>
      </c>
      <c r="N5" s="253" t="s">
        <v>146</v>
      </c>
      <c r="O5" s="439"/>
      <c r="R5" s="440"/>
    </row>
    <row r="6" spans="1:18" ht="12.75">
      <c r="A6" s="254" t="s">
        <v>162</v>
      </c>
      <c r="B6" s="255" t="s">
        <v>196</v>
      </c>
      <c r="C6" s="53">
        <v>140</v>
      </c>
      <c r="D6" s="53">
        <v>80</v>
      </c>
      <c r="E6" s="53">
        <v>72</v>
      </c>
      <c r="F6" s="53">
        <v>95</v>
      </c>
      <c r="G6" s="53">
        <v>90</v>
      </c>
      <c r="H6" s="53">
        <v>60</v>
      </c>
      <c r="I6" s="53">
        <v>100</v>
      </c>
      <c r="J6" s="53">
        <v>96</v>
      </c>
      <c r="K6" s="53">
        <v>115</v>
      </c>
      <c r="L6" s="53">
        <v>130</v>
      </c>
      <c r="M6" s="53">
        <v>125</v>
      </c>
      <c r="N6" s="53">
        <v>120</v>
      </c>
      <c r="O6" s="54">
        <f>SUM(C6:N6)</f>
        <v>1223</v>
      </c>
      <c r="P6" s="55"/>
      <c r="Q6" s="55"/>
      <c r="R6" s="256">
        <v>24460</v>
      </c>
    </row>
    <row r="7" spans="1:18" ht="12.75">
      <c r="A7" s="117" t="s">
        <v>163</v>
      </c>
      <c r="B7" s="64" t="s">
        <v>196</v>
      </c>
      <c r="C7" s="33">
        <v>147</v>
      </c>
      <c r="D7" s="33">
        <v>82</v>
      </c>
      <c r="E7" s="33">
        <v>70</v>
      </c>
      <c r="F7" s="33">
        <v>96</v>
      </c>
      <c r="G7" s="33">
        <v>96</v>
      </c>
      <c r="H7" s="33">
        <v>36</v>
      </c>
      <c r="I7" s="33">
        <v>113</v>
      </c>
      <c r="J7" s="33">
        <v>108</v>
      </c>
      <c r="K7" s="33">
        <v>121</v>
      </c>
      <c r="L7" s="33">
        <v>138</v>
      </c>
      <c r="M7" s="33">
        <v>129</v>
      </c>
      <c r="N7" s="33">
        <v>106</v>
      </c>
      <c r="O7" s="37">
        <f>SUM(C7:N7)</f>
        <v>1242</v>
      </c>
      <c r="P7" s="20"/>
      <c r="Q7" s="20"/>
      <c r="R7" s="257">
        <v>24840</v>
      </c>
    </row>
    <row r="8" spans="1:18" ht="13.5" thickBot="1">
      <c r="A8" s="258" t="s">
        <v>11</v>
      </c>
      <c r="B8" s="60"/>
      <c r="C8" s="259">
        <f aca="true" t="shared" si="0" ref="C8:N8">SUM(C6:C7)</f>
        <v>287</v>
      </c>
      <c r="D8" s="259">
        <f t="shared" si="0"/>
        <v>162</v>
      </c>
      <c r="E8" s="259">
        <f t="shared" si="0"/>
        <v>142</v>
      </c>
      <c r="F8" s="259">
        <f t="shared" si="0"/>
        <v>191</v>
      </c>
      <c r="G8" s="259">
        <f t="shared" si="0"/>
        <v>186</v>
      </c>
      <c r="H8" s="259">
        <f t="shared" si="0"/>
        <v>96</v>
      </c>
      <c r="I8" s="259">
        <f t="shared" si="0"/>
        <v>213</v>
      </c>
      <c r="J8" s="259">
        <f t="shared" si="0"/>
        <v>204</v>
      </c>
      <c r="K8" s="259">
        <f t="shared" si="0"/>
        <v>236</v>
      </c>
      <c r="L8" s="259">
        <f t="shared" si="0"/>
        <v>268</v>
      </c>
      <c r="M8" s="259">
        <f t="shared" si="0"/>
        <v>254</v>
      </c>
      <c r="N8" s="259">
        <f t="shared" si="0"/>
        <v>226</v>
      </c>
      <c r="O8" s="260" t="s">
        <v>223</v>
      </c>
      <c r="P8" s="261"/>
      <c r="Q8" s="261"/>
      <c r="R8" s="262">
        <v>49300</v>
      </c>
    </row>
    <row r="9" spans="1:15" ht="12.75">
      <c r="A9" s="65"/>
      <c r="B9" s="20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5.75">
      <c r="A10" s="426" t="s">
        <v>224</v>
      </c>
      <c r="B10" s="426"/>
      <c r="C10" s="426"/>
      <c r="D10" s="426"/>
      <c r="E10" s="42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3.5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2:5" ht="13.5" thickBot="1">
      <c r="B12" s="68" t="s">
        <v>134</v>
      </c>
      <c r="C12" s="68" t="s">
        <v>225</v>
      </c>
      <c r="D12" s="427" t="s">
        <v>222</v>
      </c>
      <c r="E12" s="428"/>
    </row>
    <row r="13" spans="1:20" ht="12.75">
      <c r="A13" s="69" t="s">
        <v>217</v>
      </c>
      <c r="B13" s="70" t="s">
        <v>196</v>
      </c>
      <c r="C13" s="71" t="s">
        <v>196</v>
      </c>
      <c r="D13" s="72" t="s">
        <v>226</v>
      </c>
      <c r="E13" s="25" t="s">
        <v>225</v>
      </c>
      <c r="T13" s="19"/>
    </row>
    <row r="14" spans="1:10" ht="12.75">
      <c r="A14" s="63" t="s">
        <v>227</v>
      </c>
      <c r="B14" s="26">
        <v>40</v>
      </c>
      <c r="C14" s="73">
        <v>480</v>
      </c>
      <c r="D14" s="24">
        <v>800</v>
      </c>
      <c r="E14" s="74">
        <v>9600</v>
      </c>
      <c r="J14" s="23"/>
    </row>
    <row r="15" spans="1:5" ht="12.75">
      <c r="A15" s="63" t="s">
        <v>228</v>
      </c>
      <c r="B15" s="75">
        <v>70</v>
      </c>
      <c r="C15" s="73">
        <v>840</v>
      </c>
      <c r="D15" s="24">
        <v>1400</v>
      </c>
      <c r="E15" s="74">
        <v>16800</v>
      </c>
    </row>
    <row r="16" spans="1:5" ht="12.75">
      <c r="A16" s="63" t="s">
        <v>229</v>
      </c>
      <c r="B16" s="26">
        <v>55</v>
      </c>
      <c r="C16" s="73">
        <v>660</v>
      </c>
      <c r="D16" s="74">
        <v>1100</v>
      </c>
      <c r="E16" s="74">
        <v>13200</v>
      </c>
    </row>
    <row r="17" spans="1:5" ht="12.75">
      <c r="A17" s="63" t="s">
        <v>230</v>
      </c>
      <c r="B17" s="75">
        <v>-25</v>
      </c>
      <c r="C17" s="73">
        <v>-305</v>
      </c>
      <c r="D17" s="24">
        <v>-500</v>
      </c>
      <c r="E17" s="74">
        <v>-6100</v>
      </c>
    </row>
    <row r="18" spans="1:5" ht="13.5" thickBot="1">
      <c r="A18" s="76" t="s">
        <v>231</v>
      </c>
      <c r="B18" s="77">
        <v>15</v>
      </c>
      <c r="C18" s="78">
        <v>180</v>
      </c>
      <c r="D18" s="79">
        <v>300</v>
      </c>
      <c r="E18" s="80">
        <v>3600</v>
      </c>
    </row>
    <row r="19" spans="1:5" ht="13.5" thickBot="1">
      <c r="A19" s="81" t="s">
        <v>11</v>
      </c>
      <c r="B19" s="82">
        <v>180</v>
      </c>
      <c r="C19" s="83">
        <v>2160</v>
      </c>
      <c r="D19" s="84">
        <v>3600</v>
      </c>
      <c r="E19" s="85">
        <v>43200</v>
      </c>
    </row>
    <row r="20" ht="13.5" thickBot="1">
      <c r="B20" s="86" t="s">
        <v>232</v>
      </c>
    </row>
    <row r="22" ht="12.75">
      <c r="A22" s="249" t="s">
        <v>303</v>
      </c>
    </row>
  </sheetData>
  <sheetProtection/>
  <mergeCells count="7">
    <mergeCell ref="A10:E10"/>
    <mergeCell ref="D12:E12"/>
    <mergeCell ref="A1:R3"/>
    <mergeCell ref="A4:A5"/>
    <mergeCell ref="B4:N4"/>
    <mergeCell ref="O4:O5"/>
    <mergeCell ref="R4:R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51"/>
  <sheetViews>
    <sheetView view="pageBreakPreview" zoomScale="60" zoomScalePageLayoutView="0" workbookViewId="0" topLeftCell="A1">
      <selection activeCell="X132" sqref="X132"/>
    </sheetView>
  </sheetViews>
  <sheetFormatPr defaultColWidth="9.140625" defaultRowHeight="12.75"/>
  <cols>
    <col min="1" max="1" width="1.57421875" style="0" customWidth="1"/>
    <col min="6" max="6" width="5.140625" style="0" customWidth="1"/>
    <col min="11" max="16" width="9.140625" style="0" hidden="1" customWidth="1"/>
  </cols>
  <sheetData>
    <row r="1" spans="2:10" ht="12.75" customHeight="1">
      <c r="B1" s="443" t="s">
        <v>304</v>
      </c>
      <c r="C1" s="444"/>
      <c r="D1" s="444"/>
      <c r="E1" s="444"/>
      <c r="F1" s="444"/>
      <c r="G1" s="444"/>
      <c r="H1" s="444"/>
      <c r="I1" s="444"/>
      <c r="J1" s="445"/>
    </row>
    <row r="2" spans="2:10" ht="12.75" customHeight="1">
      <c r="B2" s="446"/>
      <c r="C2" s="447"/>
      <c r="D2" s="447"/>
      <c r="E2" s="447"/>
      <c r="F2" s="447"/>
      <c r="G2" s="447"/>
      <c r="H2" s="447"/>
      <c r="I2" s="447"/>
      <c r="J2" s="448"/>
    </row>
    <row r="3" spans="2:10" ht="12.75" customHeight="1">
      <c r="B3" s="446"/>
      <c r="C3" s="447"/>
      <c r="D3" s="447"/>
      <c r="E3" s="447"/>
      <c r="F3" s="447"/>
      <c r="G3" s="447"/>
      <c r="H3" s="447"/>
      <c r="I3" s="447"/>
      <c r="J3" s="448"/>
    </row>
    <row r="4" spans="2:10" ht="12.75" customHeight="1">
      <c r="B4" s="446"/>
      <c r="C4" s="447"/>
      <c r="D4" s="447"/>
      <c r="E4" s="447"/>
      <c r="F4" s="447"/>
      <c r="G4" s="447"/>
      <c r="H4" s="447"/>
      <c r="I4" s="447"/>
      <c r="J4" s="448"/>
    </row>
    <row r="5" spans="2:10" ht="12.75" customHeight="1" thickBot="1">
      <c r="B5" s="449"/>
      <c r="C5" s="450"/>
      <c r="D5" s="450"/>
      <c r="E5" s="450"/>
      <c r="F5" s="450"/>
      <c r="G5" s="450"/>
      <c r="H5" s="450"/>
      <c r="I5" s="450"/>
      <c r="J5" s="451"/>
    </row>
    <row r="6" spans="2:10" ht="13.5" thickBot="1">
      <c r="B6" s="452"/>
      <c r="C6" s="452"/>
      <c r="D6" s="452"/>
      <c r="E6" s="452"/>
      <c r="F6" s="452"/>
      <c r="G6" s="452"/>
      <c r="H6" s="452"/>
      <c r="I6" s="452"/>
      <c r="J6" s="452"/>
    </row>
    <row r="7" spans="2:10" ht="12.75">
      <c r="B7" s="453" t="s">
        <v>305</v>
      </c>
      <c r="C7" s="454"/>
      <c r="D7" s="454"/>
      <c r="E7" s="454"/>
      <c r="F7" s="455"/>
      <c r="G7" s="453" t="s">
        <v>306</v>
      </c>
      <c r="H7" s="454"/>
      <c r="I7" s="454"/>
      <c r="J7" s="458"/>
    </row>
    <row r="8" spans="2:10" ht="12.75">
      <c r="B8" s="459" t="s">
        <v>307</v>
      </c>
      <c r="C8" s="460"/>
      <c r="D8" s="460" t="s">
        <v>334</v>
      </c>
      <c r="E8" s="460"/>
      <c r="F8" s="456"/>
      <c r="G8" s="459" t="s">
        <v>307</v>
      </c>
      <c r="H8" s="460"/>
      <c r="I8" s="460" t="s">
        <v>28</v>
      </c>
      <c r="J8" s="461"/>
    </row>
    <row r="9" spans="2:10" ht="12.75">
      <c r="B9" s="462" t="s">
        <v>29</v>
      </c>
      <c r="C9" s="463"/>
      <c r="D9" s="463">
        <f>25+125+210</f>
        <v>360</v>
      </c>
      <c r="E9" s="463"/>
      <c r="F9" s="456"/>
      <c r="G9" s="462" t="s">
        <v>308</v>
      </c>
      <c r="H9" s="463"/>
      <c r="I9" s="463">
        <f>265+225+6+50+195+92</f>
        <v>833</v>
      </c>
      <c r="J9" s="464"/>
    </row>
    <row r="10" spans="2:10" ht="12.75">
      <c r="B10" s="462" t="s">
        <v>294</v>
      </c>
      <c r="C10" s="463"/>
      <c r="D10" s="463">
        <f>25+121+187</f>
        <v>333</v>
      </c>
      <c r="E10" s="463"/>
      <c r="F10" s="456"/>
      <c r="G10" s="462" t="s">
        <v>309</v>
      </c>
      <c r="H10" s="463"/>
      <c r="I10" s="463">
        <f>120+183+49+216+249</f>
        <v>817</v>
      </c>
      <c r="J10" s="464"/>
    </row>
    <row r="11" spans="2:10" ht="12.75">
      <c r="B11" s="465" t="s">
        <v>62</v>
      </c>
      <c r="C11" s="466"/>
      <c r="D11" s="463">
        <f>5+25+36.5+35.5</f>
        <v>102</v>
      </c>
      <c r="E11" s="463"/>
      <c r="F11" s="456"/>
      <c r="G11" s="465" t="s">
        <v>310</v>
      </c>
      <c r="H11" s="466"/>
      <c r="I11" s="463">
        <f>62+45+11.5+31.5</f>
        <v>150</v>
      </c>
      <c r="J11" s="464"/>
    </row>
    <row r="12" spans="2:10" ht="12.75">
      <c r="B12" s="465" t="s">
        <v>30</v>
      </c>
      <c r="C12" s="466"/>
      <c r="D12" s="463">
        <f>12+51+79+71</f>
        <v>213</v>
      </c>
      <c r="E12" s="463"/>
      <c r="F12" s="456"/>
      <c r="G12" s="465" t="s">
        <v>311</v>
      </c>
      <c r="H12" s="466"/>
      <c r="I12" s="463">
        <f>108+126+8+70+35</f>
        <v>347</v>
      </c>
      <c r="J12" s="464"/>
    </row>
    <row r="13" spans="2:10" ht="12.75">
      <c r="B13" s="465" t="s">
        <v>58</v>
      </c>
      <c r="C13" s="466"/>
      <c r="D13" s="463">
        <f>12+42.5+65.5+70</f>
        <v>190</v>
      </c>
      <c r="E13" s="463"/>
      <c r="F13" s="456"/>
      <c r="G13" s="465" t="s">
        <v>312</v>
      </c>
      <c r="H13" s="466"/>
      <c r="I13" s="463">
        <f>115+180+3+9.5+68.5</f>
        <v>376</v>
      </c>
      <c r="J13" s="464"/>
    </row>
    <row r="14" spans="2:10" ht="12.75">
      <c r="B14" s="465" t="s">
        <v>31</v>
      </c>
      <c r="C14" s="466"/>
      <c r="D14" s="463">
        <f>6+22.5+57+35.5</f>
        <v>121</v>
      </c>
      <c r="E14" s="463"/>
      <c r="F14" s="456"/>
      <c r="G14" s="465" t="s">
        <v>313</v>
      </c>
      <c r="H14" s="466"/>
      <c r="I14" s="463">
        <f>68+45+7+14+31</f>
        <v>165</v>
      </c>
      <c r="J14" s="464"/>
    </row>
    <row r="15" spans="2:10" ht="12.75">
      <c r="B15" s="465" t="s">
        <v>59</v>
      </c>
      <c r="C15" s="466"/>
      <c r="D15" s="463">
        <f>8+38+57+58</f>
        <v>161</v>
      </c>
      <c r="E15" s="463"/>
      <c r="F15" s="456"/>
      <c r="G15" s="465" t="s">
        <v>314</v>
      </c>
      <c r="H15" s="466"/>
      <c r="I15" s="463">
        <f>107+91+12+54</f>
        <v>264</v>
      </c>
      <c r="J15" s="464"/>
    </row>
    <row r="16" spans="2:10" ht="12.75">
      <c r="B16" s="465" t="s">
        <v>33</v>
      </c>
      <c r="C16" s="466"/>
      <c r="D16" s="463">
        <f>5+26+48+39</f>
        <v>118</v>
      </c>
      <c r="E16" s="463"/>
      <c r="F16" s="456"/>
      <c r="G16" s="465" t="s">
        <v>315</v>
      </c>
      <c r="H16" s="466"/>
      <c r="I16" s="463">
        <f>55+45+4+3+33+120</f>
        <v>260</v>
      </c>
      <c r="J16" s="464"/>
    </row>
    <row r="17" spans="2:10" ht="12.75">
      <c r="B17" s="465" t="s">
        <v>61</v>
      </c>
      <c r="C17" s="466"/>
      <c r="D17" s="463">
        <f>6+25+37</f>
        <v>68</v>
      </c>
      <c r="E17" s="463"/>
      <c r="F17" s="456"/>
      <c r="G17" s="465" t="s">
        <v>316</v>
      </c>
      <c r="H17" s="466"/>
      <c r="I17" s="463">
        <f>55.5+45+3+31.5</f>
        <v>135</v>
      </c>
      <c r="J17" s="464"/>
    </row>
    <row r="18" spans="2:10" ht="12.75">
      <c r="B18" s="465" t="s">
        <v>60</v>
      </c>
      <c r="C18" s="466"/>
      <c r="D18" s="463">
        <f>5+22.5+28.5+32</f>
        <v>88</v>
      </c>
      <c r="E18" s="463"/>
      <c r="F18" s="456"/>
      <c r="G18" s="465" t="s">
        <v>317</v>
      </c>
      <c r="H18" s="466"/>
      <c r="I18" s="463">
        <f>54+45+4+31</f>
        <v>134</v>
      </c>
      <c r="J18" s="464"/>
    </row>
    <row r="19" spans="2:10" ht="12.75">
      <c r="B19" s="462" t="s">
        <v>155</v>
      </c>
      <c r="C19" s="463"/>
      <c r="D19" s="463">
        <f>6+8</f>
        <v>14</v>
      </c>
      <c r="E19" s="463"/>
      <c r="F19" s="456"/>
      <c r="G19" s="462" t="s">
        <v>318</v>
      </c>
      <c r="H19" s="463"/>
      <c r="I19" s="463">
        <v>20</v>
      </c>
      <c r="J19" s="464"/>
    </row>
    <row r="20" spans="2:10" ht="12.75">
      <c r="B20" s="467" t="s">
        <v>319</v>
      </c>
      <c r="C20" s="468"/>
      <c r="D20" s="468"/>
      <c r="E20" s="468"/>
      <c r="F20" s="456"/>
      <c r="G20" s="467" t="s">
        <v>319</v>
      </c>
      <c r="H20" s="468"/>
      <c r="I20" s="468"/>
      <c r="J20" s="469"/>
    </row>
    <row r="21" spans="2:10" ht="12.75">
      <c r="B21" s="465" t="s">
        <v>32</v>
      </c>
      <c r="C21" s="466"/>
      <c r="D21" s="463">
        <f>6+23+28+3</f>
        <v>60</v>
      </c>
      <c r="E21" s="463"/>
      <c r="F21" s="456"/>
      <c r="G21" s="465" t="s">
        <v>320</v>
      </c>
      <c r="H21" s="466"/>
      <c r="I21" s="463">
        <f>50+3+38+25</f>
        <v>116</v>
      </c>
      <c r="J21" s="464"/>
    </row>
    <row r="22" spans="2:10" ht="12.75">
      <c r="B22" s="465" t="s">
        <v>34</v>
      </c>
      <c r="C22" s="466"/>
      <c r="D22" s="463">
        <f>35+105+145+150</f>
        <v>435</v>
      </c>
      <c r="E22" s="463"/>
      <c r="F22" s="456"/>
      <c r="G22" s="465" t="s">
        <v>321</v>
      </c>
      <c r="H22" s="466"/>
      <c r="I22" s="463">
        <f>27+190+140+33</f>
        <v>390</v>
      </c>
      <c r="J22" s="464"/>
    </row>
    <row r="23" spans="2:10" ht="12.75">
      <c r="B23" s="465" t="s">
        <v>35</v>
      </c>
      <c r="C23" s="466"/>
      <c r="D23" s="463">
        <f>18+69+90+88</f>
        <v>265</v>
      </c>
      <c r="E23" s="463"/>
      <c r="F23" s="456"/>
      <c r="G23" s="465" t="s">
        <v>322</v>
      </c>
      <c r="H23" s="466"/>
      <c r="I23" s="463">
        <f>154+5+114+79+120</f>
        <v>472</v>
      </c>
      <c r="J23" s="464"/>
    </row>
    <row r="24" spans="2:10" ht="13.5" thickBot="1">
      <c r="B24" s="470" t="s">
        <v>11</v>
      </c>
      <c r="C24" s="471"/>
      <c r="D24" s="472">
        <f>D9+D10+D11+D12+D13+D14+D15+D16+D17+D18+D19+D21+D22+D23</f>
        <v>2528</v>
      </c>
      <c r="E24" s="472"/>
      <c r="F24" s="456"/>
      <c r="G24" s="470" t="s">
        <v>11</v>
      </c>
      <c r="H24" s="471"/>
      <c r="I24" s="472">
        <f>I9+I10+I11+I12+I13+I14+I15+I16+I17+I18+I19+I21+I22+I23</f>
        <v>4479</v>
      </c>
      <c r="J24" s="473"/>
    </row>
    <row r="25" spans="2:10" ht="12.75">
      <c r="B25" s="474"/>
      <c r="C25" s="455"/>
      <c r="D25" s="455"/>
      <c r="E25" s="455"/>
      <c r="F25" s="456"/>
      <c r="G25" s="455"/>
      <c r="H25" s="455"/>
      <c r="I25" s="455"/>
      <c r="J25" s="476"/>
    </row>
    <row r="26" spans="2:10" ht="13.5" thickBot="1">
      <c r="B26" s="475"/>
      <c r="C26" s="457"/>
      <c r="D26" s="457"/>
      <c r="E26" s="457"/>
      <c r="F26" s="456"/>
      <c r="G26" s="457"/>
      <c r="H26" s="457"/>
      <c r="I26" s="457"/>
      <c r="J26" s="477"/>
    </row>
    <row r="27" spans="2:10" ht="12.75">
      <c r="B27" s="453" t="s">
        <v>323</v>
      </c>
      <c r="C27" s="454"/>
      <c r="D27" s="454"/>
      <c r="E27" s="454"/>
      <c r="F27" s="456"/>
      <c r="G27" s="453" t="s">
        <v>2</v>
      </c>
      <c r="H27" s="454"/>
      <c r="I27" s="454"/>
      <c r="J27" s="458"/>
    </row>
    <row r="28" spans="2:10" ht="12.75">
      <c r="B28" s="459" t="s">
        <v>307</v>
      </c>
      <c r="C28" s="460"/>
      <c r="D28" s="460" t="s">
        <v>28</v>
      </c>
      <c r="E28" s="460"/>
      <c r="F28" s="456"/>
      <c r="G28" s="459" t="s">
        <v>307</v>
      </c>
      <c r="H28" s="460"/>
      <c r="I28" s="460" t="s">
        <v>28</v>
      </c>
      <c r="J28" s="461"/>
    </row>
    <row r="29" spans="2:10" ht="12.75">
      <c r="B29" s="462" t="s">
        <v>29</v>
      </c>
      <c r="C29" s="463"/>
      <c r="D29" s="463">
        <f>317+183+230+150+165</f>
        <v>1045</v>
      </c>
      <c r="E29" s="463"/>
      <c r="F29" s="456"/>
      <c r="G29" s="462" t="s">
        <v>29</v>
      </c>
      <c r="H29" s="463"/>
      <c r="I29" s="463">
        <f>214+207+245+105</f>
        <v>771</v>
      </c>
      <c r="J29" s="464"/>
    </row>
    <row r="30" spans="2:10" ht="12.75">
      <c r="B30" s="462" t="s">
        <v>294</v>
      </c>
      <c r="C30" s="463"/>
      <c r="D30" s="463">
        <f>335+180+251+130+169</f>
        <v>1065</v>
      </c>
      <c r="E30" s="463"/>
      <c r="F30" s="456"/>
      <c r="G30" s="462" t="s">
        <v>294</v>
      </c>
      <c r="H30" s="463"/>
      <c r="I30" s="463">
        <f>233+220+235+105</f>
        <v>793</v>
      </c>
      <c r="J30" s="464"/>
    </row>
    <row r="31" spans="2:10" ht="12.75">
      <c r="B31" s="465" t="s">
        <v>62</v>
      </c>
      <c r="C31" s="466"/>
      <c r="D31" s="463">
        <f>59+31.5+44.5+28+32</f>
        <v>195</v>
      </c>
      <c r="E31" s="463"/>
      <c r="F31" s="456"/>
      <c r="G31" s="465" t="s">
        <v>62</v>
      </c>
      <c r="H31" s="466"/>
      <c r="I31" s="463">
        <f>29.5+30+44+19.5</f>
        <v>123</v>
      </c>
      <c r="J31" s="464"/>
    </row>
    <row r="32" spans="2:10" ht="12.75">
      <c r="B32" s="465" t="s">
        <v>30</v>
      </c>
      <c r="C32" s="466"/>
      <c r="D32" s="463">
        <f>150+108+130+64+93+150+69+62</f>
        <v>826</v>
      </c>
      <c r="E32" s="463"/>
      <c r="F32" s="456"/>
      <c r="G32" s="465" t="s">
        <v>30</v>
      </c>
      <c r="H32" s="466"/>
      <c r="I32" s="463">
        <f>61+74+91+39</f>
        <v>265</v>
      </c>
      <c r="J32" s="464"/>
    </row>
    <row r="33" spans="2:10" ht="12.75">
      <c r="B33" s="465" t="s">
        <v>58</v>
      </c>
      <c r="C33" s="466"/>
      <c r="D33" s="463">
        <f>121+625+87+520+60</f>
        <v>1413</v>
      </c>
      <c r="E33" s="463"/>
      <c r="F33" s="456"/>
      <c r="G33" s="465" t="s">
        <v>58</v>
      </c>
      <c r="H33" s="466"/>
      <c r="I33" s="463">
        <f>53+81.5+78.5+39</f>
        <v>252</v>
      </c>
      <c r="J33" s="464"/>
    </row>
    <row r="34" spans="2:10" ht="12.75">
      <c r="B34" s="465" t="s">
        <v>31</v>
      </c>
      <c r="C34" s="466"/>
      <c r="D34" s="463">
        <f>60+30.5+45.5+26+53</f>
        <v>215</v>
      </c>
      <c r="E34" s="463"/>
      <c r="F34" s="456"/>
      <c r="G34" s="465" t="s">
        <v>31</v>
      </c>
      <c r="H34" s="466"/>
      <c r="I34" s="463">
        <f>28.5+38.5+45+24</f>
        <v>136</v>
      </c>
      <c r="J34" s="464"/>
    </row>
    <row r="35" spans="2:10" ht="12.75">
      <c r="B35" s="465" t="s">
        <v>59</v>
      </c>
      <c r="C35" s="466"/>
      <c r="D35" s="463">
        <f>103+53+80+46+58</f>
        <v>340</v>
      </c>
      <c r="E35" s="463"/>
      <c r="F35" s="456"/>
      <c r="G35" s="465" t="s">
        <v>59</v>
      </c>
      <c r="H35" s="466"/>
      <c r="I35" s="463">
        <f>45+73+74+33</f>
        <v>225</v>
      </c>
      <c r="J35" s="464"/>
    </row>
    <row r="36" spans="2:10" ht="12.75">
      <c r="B36" s="465" t="s">
        <v>33</v>
      </c>
      <c r="C36" s="466"/>
      <c r="D36" s="463">
        <f>63+48+29+37</f>
        <v>177</v>
      </c>
      <c r="E36" s="463"/>
      <c r="F36" s="456"/>
      <c r="G36" s="465" t="s">
        <v>33</v>
      </c>
      <c r="H36" s="466"/>
      <c r="I36" s="463">
        <f>33+38+47+20</f>
        <v>138</v>
      </c>
      <c r="J36" s="464"/>
    </row>
    <row r="37" spans="2:10" ht="12.75">
      <c r="B37" s="465" t="s">
        <v>61</v>
      </c>
      <c r="C37" s="466"/>
      <c r="D37" s="463">
        <f>62+40+26+32</f>
        <v>160</v>
      </c>
      <c r="E37" s="463"/>
      <c r="F37" s="456"/>
      <c r="G37" s="465" t="s">
        <v>61</v>
      </c>
      <c r="H37" s="466"/>
      <c r="I37" s="463">
        <f>28.5+41+45.5+16</f>
        <v>131</v>
      </c>
      <c r="J37" s="464"/>
    </row>
    <row r="38" spans="2:10" ht="12.75">
      <c r="B38" s="465" t="s">
        <v>60</v>
      </c>
      <c r="C38" s="466"/>
      <c r="D38" s="463">
        <f>56+40+27.5+29.5</f>
        <v>153</v>
      </c>
      <c r="E38" s="463"/>
      <c r="F38" s="456"/>
      <c r="G38" s="465" t="s">
        <v>60</v>
      </c>
      <c r="H38" s="466"/>
      <c r="I38" s="463">
        <f>20+36+44+17</f>
        <v>117</v>
      </c>
      <c r="J38" s="464"/>
    </row>
    <row r="39" spans="2:10" ht="12.75">
      <c r="B39" s="462" t="s">
        <v>155</v>
      </c>
      <c r="C39" s="463"/>
      <c r="D39" s="463">
        <v>18</v>
      </c>
      <c r="E39" s="463"/>
      <c r="F39" s="456"/>
      <c r="G39" s="462" t="s">
        <v>155</v>
      </c>
      <c r="H39" s="463"/>
      <c r="I39" s="463">
        <f>12+7</f>
        <v>19</v>
      </c>
      <c r="J39" s="464"/>
    </row>
    <row r="40" spans="2:10" ht="12.75">
      <c r="B40" s="467" t="s">
        <v>319</v>
      </c>
      <c r="C40" s="468"/>
      <c r="D40" s="468"/>
      <c r="E40" s="468"/>
      <c r="F40" s="456"/>
      <c r="G40" s="467" t="s">
        <v>319</v>
      </c>
      <c r="H40" s="468"/>
      <c r="I40" s="468"/>
      <c r="J40" s="469"/>
    </row>
    <row r="41" spans="2:10" ht="12.75">
      <c r="B41" s="465" t="s">
        <v>32</v>
      </c>
      <c r="C41" s="466"/>
      <c r="D41" s="463">
        <f>55+44+23+27</f>
        <v>149</v>
      </c>
      <c r="E41" s="463"/>
      <c r="F41" s="456"/>
      <c r="G41" s="465" t="s">
        <v>32</v>
      </c>
      <c r="H41" s="466"/>
      <c r="I41" s="463">
        <f>18+36+38+18</f>
        <v>110</v>
      </c>
      <c r="J41" s="464"/>
    </row>
    <row r="42" spans="2:10" ht="12.75">
      <c r="B42" s="465" t="s">
        <v>34</v>
      </c>
      <c r="C42" s="466"/>
      <c r="D42" s="463">
        <f>295+225+105+150</f>
        <v>775</v>
      </c>
      <c r="E42" s="463"/>
      <c r="F42" s="456"/>
      <c r="G42" s="465" t="s">
        <v>34</v>
      </c>
      <c r="H42" s="466"/>
      <c r="I42" s="463">
        <f>85+180+211+96</f>
        <v>572</v>
      </c>
      <c r="J42" s="464"/>
    </row>
    <row r="43" spans="2:10" ht="12.75">
      <c r="B43" s="465" t="s">
        <v>35</v>
      </c>
      <c r="C43" s="466"/>
      <c r="D43" s="463">
        <f>173+126+90+130</f>
        <v>519</v>
      </c>
      <c r="E43" s="463"/>
      <c r="F43" s="456"/>
      <c r="G43" s="465" t="s">
        <v>35</v>
      </c>
      <c r="H43" s="466"/>
      <c r="I43" s="463">
        <f>52+108+129+54</f>
        <v>343</v>
      </c>
      <c r="J43" s="464"/>
    </row>
    <row r="44" spans="2:10" ht="13.5" thickBot="1">
      <c r="B44" s="470" t="s">
        <v>11</v>
      </c>
      <c r="C44" s="471"/>
      <c r="D44" s="472">
        <f>D29+D30+D31+D32+D33+D34+D35+D36+D37+D38+D39+D41+D42+D43</f>
        <v>7050</v>
      </c>
      <c r="E44" s="472"/>
      <c r="F44" s="456"/>
      <c r="G44" s="470" t="s">
        <v>11</v>
      </c>
      <c r="H44" s="471"/>
      <c r="I44" s="472">
        <f>I29+I30+I31+I32+I33+I34+I35+I36+I37+I38+I39+I41+I42+I43</f>
        <v>3995</v>
      </c>
      <c r="J44" s="473"/>
    </row>
    <row r="45" spans="2:10" ht="12.75">
      <c r="B45" s="474"/>
      <c r="C45" s="455"/>
      <c r="D45" s="455"/>
      <c r="E45" s="455"/>
      <c r="F45" s="456"/>
      <c r="G45" s="455"/>
      <c r="H45" s="455"/>
      <c r="I45" s="455"/>
      <c r="J45" s="476"/>
    </row>
    <row r="46" spans="2:10" ht="13.5" thickBot="1">
      <c r="B46" s="475"/>
      <c r="C46" s="457"/>
      <c r="D46" s="457"/>
      <c r="E46" s="457"/>
      <c r="F46" s="456"/>
      <c r="G46" s="456"/>
      <c r="H46" s="456"/>
      <c r="I46" s="456"/>
      <c r="J46" s="478"/>
    </row>
    <row r="47" spans="2:10" ht="12.75">
      <c r="B47" s="453" t="s">
        <v>3</v>
      </c>
      <c r="C47" s="454"/>
      <c r="D47" s="454"/>
      <c r="E47" s="454"/>
      <c r="F47" s="456"/>
      <c r="G47" s="479" t="s">
        <v>324</v>
      </c>
      <c r="H47" s="480"/>
      <c r="I47" s="480"/>
      <c r="J47" s="481"/>
    </row>
    <row r="48" spans="2:10" ht="12.75">
      <c r="B48" s="459" t="s">
        <v>307</v>
      </c>
      <c r="C48" s="460"/>
      <c r="D48" s="460" t="s">
        <v>28</v>
      </c>
      <c r="E48" s="460"/>
      <c r="F48" s="456"/>
      <c r="G48" s="459" t="s">
        <v>307</v>
      </c>
      <c r="H48" s="460"/>
      <c r="I48" s="460" t="s">
        <v>28</v>
      </c>
      <c r="J48" s="461"/>
    </row>
    <row r="49" spans="2:10" ht="12.75">
      <c r="B49" s="462" t="s">
        <v>29</v>
      </c>
      <c r="C49" s="463"/>
      <c r="D49" s="463">
        <f>165+30+168+344+260+200+30</f>
        <v>1197</v>
      </c>
      <c r="E49" s="463"/>
      <c r="F49" s="456"/>
      <c r="G49" s="462" t="s">
        <v>29</v>
      </c>
      <c r="H49" s="463"/>
      <c r="I49" s="463">
        <f>247+165+150+157+50</f>
        <v>769</v>
      </c>
      <c r="J49" s="464"/>
    </row>
    <row r="50" spans="2:10" ht="12.75">
      <c r="B50" s="462" t="s">
        <v>294</v>
      </c>
      <c r="C50" s="463"/>
      <c r="D50" s="463">
        <f>161+30+157+247+255+145+30</f>
        <v>1025</v>
      </c>
      <c r="E50" s="463"/>
      <c r="F50" s="456"/>
      <c r="G50" s="462" t="s">
        <v>294</v>
      </c>
      <c r="H50" s="463"/>
      <c r="I50" s="463">
        <f>219+150+155+159+45</f>
        <v>728</v>
      </c>
      <c r="J50" s="464"/>
    </row>
    <row r="51" spans="2:10" ht="12.75">
      <c r="B51" s="465" t="s">
        <v>62</v>
      </c>
      <c r="C51" s="466"/>
      <c r="D51" s="463">
        <f>35+25.5+42.5+31</f>
        <v>134</v>
      </c>
      <c r="E51" s="463"/>
      <c r="F51" s="456"/>
      <c r="G51" s="465" t="s">
        <v>62</v>
      </c>
      <c r="H51" s="466"/>
      <c r="I51" s="463">
        <f>42+32+28+32+8</f>
        <v>142</v>
      </c>
      <c r="J51" s="464"/>
    </row>
    <row r="52" spans="2:10" ht="12.75">
      <c r="B52" s="465" t="s">
        <v>30</v>
      </c>
      <c r="C52" s="466"/>
      <c r="D52" s="463">
        <f>121+35+56+13+200+103+72+35</f>
        <v>635</v>
      </c>
      <c r="E52" s="463"/>
      <c r="F52" s="456"/>
      <c r="G52" s="465" t="s">
        <v>30</v>
      </c>
      <c r="H52" s="466"/>
      <c r="I52" s="463">
        <f>130+100+143+72+17</f>
        <v>462</v>
      </c>
      <c r="J52" s="464"/>
    </row>
    <row r="53" spans="2:10" ht="12.75">
      <c r="B53" s="465" t="s">
        <v>58</v>
      </c>
      <c r="C53" s="466"/>
      <c r="D53" s="463">
        <f>64+56+172+55</f>
        <v>347</v>
      </c>
      <c r="E53" s="463"/>
      <c r="F53" s="456"/>
      <c r="G53" s="465" t="s">
        <v>58</v>
      </c>
      <c r="H53" s="466"/>
      <c r="I53" s="463">
        <f>91.5+20.5</f>
        <v>112</v>
      </c>
      <c r="J53" s="464"/>
    </row>
    <row r="54" spans="2:10" ht="12.75">
      <c r="B54" s="465" t="s">
        <v>31</v>
      </c>
      <c r="C54" s="466"/>
      <c r="D54" s="463">
        <f>35+29+28.5+15+53+28.5+29</f>
        <v>218</v>
      </c>
      <c r="E54" s="463"/>
      <c r="F54" s="456"/>
      <c r="G54" s="465" t="s">
        <v>31</v>
      </c>
      <c r="H54" s="466"/>
      <c r="I54" s="463">
        <f>43+31.5+29.5+49</f>
        <v>153</v>
      </c>
      <c r="J54" s="464"/>
    </row>
    <row r="55" spans="2:10" ht="12.75">
      <c r="B55" s="465" t="s">
        <v>59</v>
      </c>
      <c r="C55" s="466"/>
      <c r="D55" s="463">
        <f>54+45+84+49</f>
        <v>232</v>
      </c>
      <c r="E55" s="463"/>
      <c r="F55" s="456"/>
      <c r="G55" s="465" t="s">
        <v>59</v>
      </c>
      <c r="H55" s="466"/>
      <c r="I55" s="463">
        <f>80+52+59+54+16</f>
        <v>261</v>
      </c>
      <c r="J55" s="464"/>
    </row>
    <row r="56" spans="2:10" ht="12.75">
      <c r="B56" s="465" t="s">
        <v>33</v>
      </c>
      <c r="C56" s="466"/>
      <c r="D56" s="463">
        <f>37+36+65+32</f>
        <v>170</v>
      </c>
      <c r="E56" s="463"/>
      <c r="F56" s="456"/>
      <c r="G56" s="465" t="s">
        <v>33</v>
      </c>
      <c r="H56" s="466"/>
      <c r="I56" s="463">
        <f>32+46+33+31+9</f>
        <v>151</v>
      </c>
      <c r="J56" s="464"/>
    </row>
    <row r="57" spans="2:10" ht="12.75">
      <c r="B57" s="465" t="s">
        <v>61</v>
      </c>
      <c r="C57" s="466"/>
      <c r="D57" s="463">
        <f>30+25+46+29</f>
        <v>130</v>
      </c>
      <c r="E57" s="463"/>
      <c r="F57" s="456"/>
      <c r="G57" s="465" t="s">
        <v>61</v>
      </c>
      <c r="H57" s="466"/>
      <c r="I57" s="463">
        <f>45+29+30+30+9</f>
        <v>143</v>
      </c>
      <c r="J57" s="464"/>
    </row>
    <row r="58" spans="2:10" ht="12.75">
      <c r="B58" s="465" t="s">
        <v>60</v>
      </c>
      <c r="C58" s="466"/>
      <c r="D58" s="463">
        <f>26+31+50+29</f>
        <v>136</v>
      </c>
      <c r="E58" s="463"/>
      <c r="F58" s="456"/>
      <c r="G58" s="465" t="s">
        <v>60</v>
      </c>
      <c r="H58" s="466"/>
      <c r="I58" s="463">
        <f>37+30+29+30+8</f>
        <v>134</v>
      </c>
      <c r="J58" s="464"/>
    </row>
    <row r="59" spans="2:10" ht="12.75">
      <c r="B59" s="462" t="s">
        <v>155</v>
      </c>
      <c r="C59" s="463"/>
      <c r="D59" s="463">
        <v>26</v>
      </c>
      <c r="E59" s="463"/>
      <c r="F59" s="456"/>
      <c r="G59" s="462" t="s">
        <v>155</v>
      </c>
      <c r="H59" s="463"/>
      <c r="I59" s="463">
        <v>10</v>
      </c>
      <c r="J59" s="464"/>
    </row>
    <row r="60" spans="2:10" ht="12.75">
      <c r="B60" s="467" t="s">
        <v>319</v>
      </c>
      <c r="C60" s="468"/>
      <c r="D60" s="468"/>
      <c r="E60" s="468"/>
      <c r="F60" s="456"/>
      <c r="G60" s="467" t="s">
        <v>319</v>
      </c>
      <c r="H60" s="468"/>
      <c r="I60" s="468"/>
      <c r="J60" s="469"/>
    </row>
    <row r="61" spans="2:10" ht="12.75">
      <c r="B61" s="465" t="s">
        <v>32</v>
      </c>
      <c r="C61" s="466"/>
      <c r="D61" s="463">
        <f>29+25+42+28</f>
        <v>124</v>
      </c>
      <c r="E61" s="463"/>
      <c r="F61" s="456"/>
      <c r="G61" s="465" t="s">
        <v>32</v>
      </c>
      <c r="H61" s="466"/>
      <c r="I61" s="463">
        <f>42+26+26+33+9</f>
        <v>136</v>
      </c>
      <c r="J61" s="464"/>
    </row>
    <row r="62" spans="2:10" ht="12.75">
      <c r="B62" s="465" t="s">
        <v>34</v>
      </c>
      <c r="C62" s="466"/>
      <c r="D62" s="463">
        <f>140+110+216+130</f>
        <v>596</v>
      </c>
      <c r="E62" s="463"/>
      <c r="F62" s="456"/>
      <c r="G62" s="465" t="s">
        <v>34</v>
      </c>
      <c r="H62" s="466"/>
      <c r="I62" s="463">
        <f>203+130+145+145+40</f>
        <v>663</v>
      </c>
      <c r="J62" s="464"/>
    </row>
    <row r="63" spans="2:10" ht="12.75">
      <c r="B63" s="465" t="s">
        <v>35</v>
      </c>
      <c r="C63" s="466"/>
      <c r="D63" s="463">
        <f>78+73+128+84</f>
        <v>363</v>
      </c>
      <c r="E63" s="463"/>
      <c r="F63" s="456"/>
      <c r="G63" s="465" t="s">
        <v>35</v>
      </c>
      <c r="H63" s="466"/>
      <c r="I63" s="463">
        <f>131+78+83+90+28</f>
        <v>410</v>
      </c>
      <c r="J63" s="464"/>
    </row>
    <row r="64" spans="2:10" ht="13.5" thickBot="1">
      <c r="B64" s="470" t="s">
        <v>11</v>
      </c>
      <c r="C64" s="471"/>
      <c r="D64" s="472">
        <f>D49+D50+D51+D52+D53+D54+D55+D56+D57+D58+D59+D61+D62+D63</f>
        <v>5333</v>
      </c>
      <c r="E64" s="472"/>
      <c r="F64" s="456"/>
      <c r="G64" s="470" t="s">
        <v>11</v>
      </c>
      <c r="H64" s="471"/>
      <c r="I64" s="472">
        <f>I49+I50+I51+I52+I53+I54+I55+I56+I57+I58+I59+I61+I62+I63</f>
        <v>4274</v>
      </c>
      <c r="J64" s="473"/>
    </row>
    <row r="65" spans="2:10" ht="12.75">
      <c r="B65" s="474"/>
      <c r="C65" s="455"/>
      <c r="D65" s="455"/>
      <c r="E65" s="455"/>
      <c r="F65" s="456"/>
      <c r="G65" s="455"/>
      <c r="H65" s="455"/>
      <c r="I65" s="455"/>
      <c r="J65" s="476"/>
    </row>
    <row r="66" spans="2:10" ht="13.5" thickBot="1">
      <c r="B66" s="482"/>
      <c r="C66" s="456"/>
      <c r="D66" s="456"/>
      <c r="E66" s="456"/>
      <c r="F66" s="456"/>
      <c r="G66" s="457"/>
      <c r="H66" s="457"/>
      <c r="I66" s="457"/>
      <c r="J66" s="477"/>
    </row>
    <row r="67" spans="2:10" ht="12.75">
      <c r="B67" s="479" t="s">
        <v>325</v>
      </c>
      <c r="C67" s="480"/>
      <c r="D67" s="480"/>
      <c r="E67" s="480"/>
      <c r="F67" s="456"/>
      <c r="G67" s="453" t="s">
        <v>326</v>
      </c>
      <c r="H67" s="454"/>
      <c r="I67" s="454"/>
      <c r="J67" s="458"/>
    </row>
    <row r="68" spans="2:10" ht="12.75">
      <c r="B68" s="459" t="s">
        <v>307</v>
      </c>
      <c r="C68" s="460"/>
      <c r="D68" s="460" t="s">
        <v>28</v>
      </c>
      <c r="E68" s="460"/>
      <c r="F68" s="456"/>
      <c r="G68" s="459" t="s">
        <v>307</v>
      </c>
      <c r="H68" s="460"/>
      <c r="I68" s="460" t="s">
        <v>28</v>
      </c>
      <c r="J68" s="461"/>
    </row>
    <row r="69" spans="2:10" ht="12.75">
      <c r="B69" s="462" t="s">
        <v>29</v>
      </c>
      <c r="C69" s="463"/>
      <c r="D69" s="463">
        <f>220+220+90+110</f>
        <v>640</v>
      </c>
      <c r="E69" s="463"/>
      <c r="F69" s="456"/>
      <c r="G69" s="462" t="s">
        <v>29</v>
      </c>
      <c r="H69" s="463"/>
      <c r="I69" s="463">
        <v>265</v>
      </c>
      <c r="J69" s="464"/>
    </row>
    <row r="70" spans="2:10" ht="12.75">
      <c r="B70" s="462" t="s">
        <v>294</v>
      </c>
      <c r="C70" s="463"/>
      <c r="D70" s="463">
        <f>192+211+100+105</f>
        <v>608</v>
      </c>
      <c r="E70" s="463"/>
      <c r="F70" s="456"/>
      <c r="G70" s="462" t="s">
        <v>294</v>
      </c>
      <c r="H70" s="463"/>
      <c r="I70" s="463">
        <f>405+210</f>
        <v>615</v>
      </c>
      <c r="J70" s="464"/>
    </row>
    <row r="71" spans="2:10" ht="12.75">
      <c r="B71" s="465" t="s">
        <v>62</v>
      </c>
      <c r="C71" s="466"/>
      <c r="D71" s="463">
        <f>41+23+19+43</f>
        <v>126</v>
      </c>
      <c r="E71" s="463"/>
      <c r="F71" s="456"/>
      <c r="G71" s="465" t="s">
        <v>62</v>
      </c>
      <c r="H71" s="466"/>
      <c r="I71" s="463">
        <v>48</v>
      </c>
      <c r="J71" s="464"/>
    </row>
    <row r="72" spans="2:10" ht="12.75">
      <c r="B72" s="465" t="s">
        <v>30</v>
      </c>
      <c r="C72" s="466"/>
      <c r="D72" s="463">
        <f>92+113+36+41</f>
        <v>282</v>
      </c>
      <c r="E72" s="463"/>
      <c r="F72" s="456"/>
      <c r="G72" s="465" t="s">
        <v>30</v>
      </c>
      <c r="H72" s="466"/>
      <c r="I72" s="463">
        <f>152+150</f>
        <v>302</v>
      </c>
      <c r="J72" s="464"/>
    </row>
    <row r="73" spans="2:10" ht="12.75">
      <c r="B73" s="465" t="s">
        <v>58</v>
      </c>
      <c r="C73" s="466"/>
      <c r="D73" s="463">
        <f>40+81+38+41</f>
        <v>200</v>
      </c>
      <c r="E73" s="463"/>
      <c r="F73" s="456"/>
      <c r="G73" s="465" t="s">
        <v>58</v>
      </c>
      <c r="H73" s="466"/>
      <c r="I73" s="463">
        <v>81</v>
      </c>
      <c r="J73" s="464"/>
    </row>
    <row r="74" spans="2:10" ht="12.75">
      <c r="B74" s="465" t="s">
        <v>31</v>
      </c>
      <c r="C74" s="466"/>
      <c r="D74" s="463">
        <f>40+44+18+30</f>
        <v>132</v>
      </c>
      <c r="E74" s="463"/>
      <c r="F74" s="456"/>
      <c r="G74" s="465" t="s">
        <v>31</v>
      </c>
      <c r="H74" s="466"/>
      <c r="I74" s="463">
        <v>46</v>
      </c>
      <c r="J74" s="464"/>
    </row>
    <row r="75" spans="2:10" ht="12.75">
      <c r="B75" s="465" t="s">
        <v>59</v>
      </c>
      <c r="C75" s="466"/>
      <c r="D75" s="463">
        <f>68+75+39+39</f>
        <v>221</v>
      </c>
      <c r="E75" s="463"/>
      <c r="F75" s="456"/>
      <c r="G75" s="465" t="s">
        <v>59</v>
      </c>
      <c r="H75" s="466"/>
      <c r="I75" s="463">
        <v>74</v>
      </c>
      <c r="J75" s="464"/>
    </row>
    <row r="76" spans="2:10" ht="12.75">
      <c r="B76" s="465" t="s">
        <v>33</v>
      </c>
      <c r="C76" s="466"/>
      <c r="D76" s="463">
        <f>46+43+18+20</f>
        <v>127</v>
      </c>
      <c r="E76" s="463"/>
      <c r="F76" s="456"/>
      <c r="G76" s="465" t="s">
        <v>33</v>
      </c>
      <c r="H76" s="466"/>
      <c r="I76" s="463">
        <v>53</v>
      </c>
      <c r="J76" s="464"/>
    </row>
    <row r="77" spans="2:10" ht="12.75">
      <c r="B77" s="465" t="s">
        <v>61</v>
      </c>
      <c r="C77" s="466"/>
      <c r="D77" s="463">
        <f>38+43+19+21</f>
        <v>121</v>
      </c>
      <c r="E77" s="463"/>
      <c r="F77" s="456"/>
      <c r="G77" s="465" t="s">
        <v>61</v>
      </c>
      <c r="H77" s="466"/>
      <c r="I77" s="463">
        <v>47</v>
      </c>
      <c r="J77" s="464"/>
    </row>
    <row r="78" spans="2:10" ht="12.75">
      <c r="B78" s="465" t="s">
        <v>60</v>
      </c>
      <c r="C78" s="466"/>
      <c r="D78" s="463">
        <f>39+37.5+18.5+20</f>
        <v>115</v>
      </c>
      <c r="E78" s="463"/>
      <c r="F78" s="456"/>
      <c r="G78" s="465" t="s">
        <v>60</v>
      </c>
      <c r="H78" s="466"/>
      <c r="I78" s="463">
        <v>46</v>
      </c>
      <c r="J78" s="464"/>
    </row>
    <row r="79" spans="2:10" ht="12.75">
      <c r="B79" s="462" t="s">
        <v>155</v>
      </c>
      <c r="C79" s="463"/>
      <c r="D79" s="463">
        <v>13</v>
      </c>
      <c r="E79" s="463"/>
      <c r="F79" s="456"/>
      <c r="G79" s="462" t="s">
        <v>155</v>
      </c>
      <c r="H79" s="463"/>
      <c r="I79" s="463">
        <v>10</v>
      </c>
      <c r="J79" s="464"/>
    </row>
    <row r="80" spans="2:10" ht="12.75">
      <c r="B80" s="467" t="s">
        <v>319</v>
      </c>
      <c r="C80" s="468"/>
      <c r="D80" s="468"/>
      <c r="E80" s="468"/>
      <c r="F80" s="456"/>
      <c r="G80" s="467" t="s">
        <v>319</v>
      </c>
      <c r="H80" s="468"/>
      <c r="I80" s="468"/>
      <c r="J80" s="469"/>
    </row>
    <row r="81" spans="2:10" ht="12.75">
      <c r="B81" s="465" t="s">
        <v>32</v>
      </c>
      <c r="C81" s="466"/>
      <c r="D81" s="463">
        <f>35+40+19+21</f>
        <v>115</v>
      </c>
      <c r="E81" s="463"/>
      <c r="F81" s="456"/>
      <c r="G81" s="465" t="s">
        <v>32</v>
      </c>
      <c r="H81" s="466"/>
      <c r="I81" s="463">
        <v>37</v>
      </c>
      <c r="J81" s="464"/>
    </row>
    <row r="82" spans="2:10" ht="12.75">
      <c r="B82" s="465" t="s">
        <v>34</v>
      </c>
      <c r="C82" s="466"/>
      <c r="D82" s="463">
        <f>210+205+95+105</f>
        <v>615</v>
      </c>
      <c r="E82" s="463"/>
      <c r="F82" s="456"/>
      <c r="G82" s="465" t="s">
        <v>34</v>
      </c>
      <c r="H82" s="466"/>
      <c r="I82" s="463">
        <v>185</v>
      </c>
      <c r="J82" s="464"/>
    </row>
    <row r="83" spans="2:10" ht="12.75">
      <c r="B83" s="465" t="s">
        <v>35</v>
      </c>
      <c r="C83" s="466"/>
      <c r="D83" s="463">
        <f>108+121+57+63</f>
        <v>349</v>
      </c>
      <c r="E83" s="463"/>
      <c r="F83" s="456"/>
      <c r="G83" s="465" t="s">
        <v>35</v>
      </c>
      <c r="H83" s="466"/>
      <c r="I83" s="463">
        <v>117</v>
      </c>
      <c r="J83" s="464"/>
    </row>
    <row r="84" spans="2:10" ht="13.5" thickBot="1">
      <c r="B84" s="470" t="s">
        <v>11</v>
      </c>
      <c r="C84" s="471"/>
      <c r="D84" s="472">
        <f>D69+D70+D71+D72+D73+D74+D75+D76+D77+D78+D79+D81+D82+D83</f>
        <v>3664</v>
      </c>
      <c r="E84" s="472"/>
      <c r="F84" s="456"/>
      <c r="G84" s="470" t="s">
        <v>11</v>
      </c>
      <c r="H84" s="471"/>
      <c r="I84" s="472">
        <f>I69+I70+I71+I72+I73+I74+I75+I76+I77+I78+I79+I81+I82+I83</f>
        <v>1926</v>
      </c>
      <c r="J84" s="473"/>
    </row>
    <row r="85" spans="2:10" ht="12.75">
      <c r="B85" s="474"/>
      <c r="C85" s="455"/>
      <c r="D85" s="455"/>
      <c r="E85" s="455"/>
      <c r="F85" s="456"/>
      <c r="G85" s="455"/>
      <c r="H85" s="455"/>
      <c r="I85" s="455"/>
      <c r="J85" s="476"/>
    </row>
    <row r="86" spans="2:10" ht="12.75">
      <c r="B86" s="482"/>
      <c r="C86" s="456"/>
      <c r="D86" s="456"/>
      <c r="E86" s="456"/>
      <c r="F86" s="456"/>
      <c r="G86" s="456"/>
      <c r="H86" s="456"/>
      <c r="I86" s="456"/>
      <c r="J86" s="478"/>
    </row>
    <row r="87" spans="2:10" ht="12.75">
      <c r="B87" s="479" t="s">
        <v>327</v>
      </c>
      <c r="C87" s="480"/>
      <c r="D87" s="480"/>
      <c r="E87" s="480"/>
      <c r="F87" s="456"/>
      <c r="G87" s="479" t="s">
        <v>328</v>
      </c>
      <c r="H87" s="480"/>
      <c r="I87" s="480"/>
      <c r="J87" s="481"/>
    </row>
    <row r="88" spans="2:10" ht="12.75">
      <c r="B88" s="459" t="s">
        <v>307</v>
      </c>
      <c r="C88" s="460"/>
      <c r="D88" s="460" t="s">
        <v>28</v>
      </c>
      <c r="E88" s="460"/>
      <c r="F88" s="456"/>
      <c r="G88" s="459" t="s">
        <v>307</v>
      </c>
      <c r="H88" s="460"/>
      <c r="I88" s="460" t="s">
        <v>28</v>
      </c>
      <c r="J88" s="461"/>
    </row>
    <row r="89" spans="2:10" ht="12.75">
      <c r="B89" s="462" t="s">
        <v>29</v>
      </c>
      <c r="C89" s="463"/>
      <c r="D89" s="463">
        <f>190+155+175+140</f>
        <v>660</v>
      </c>
      <c r="E89" s="463"/>
      <c r="F89" s="456"/>
      <c r="G89" s="462" t="s">
        <v>29</v>
      </c>
      <c r="H89" s="463"/>
      <c r="I89" s="463">
        <f>215+136+150+195</f>
        <v>696</v>
      </c>
      <c r="J89" s="464"/>
    </row>
    <row r="90" spans="2:10" ht="12.75">
      <c r="B90" s="462" t="s">
        <v>294</v>
      </c>
      <c r="C90" s="463"/>
      <c r="D90" s="463">
        <f>184+175+165+130</f>
        <v>654</v>
      </c>
      <c r="E90" s="463"/>
      <c r="F90" s="456"/>
      <c r="G90" s="462" t="s">
        <v>294</v>
      </c>
      <c r="H90" s="463"/>
      <c r="I90" s="463">
        <f>145+181+136+217</f>
        <v>679</v>
      </c>
      <c r="J90" s="464"/>
    </row>
    <row r="91" spans="2:10" ht="12.75">
      <c r="B91" s="465" t="s">
        <v>62</v>
      </c>
      <c r="C91" s="466"/>
      <c r="D91" s="463">
        <f>37+29+34+33</f>
        <v>133</v>
      </c>
      <c r="E91" s="463"/>
      <c r="F91" s="456"/>
      <c r="G91" s="465" t="s">
        <v>62</v>
      </c>
      <c r="H91" s="466"/>
      <c r="I91" s="463">
        <f>28+43+36+28</f>
        <v>135</v>
      </c>
      <c r="J91" s="464"/>
    </row>
    <row r="92" spans="2:10" ht="12.75">
      <c r="B92" s="465" t="s">
        <v>30</v>
      </c>
      <c r="C92" s="466"/>
      <c r="D92" s="463">
        <f>70+71+66+54</f>
        <v>261</v>
      </c>
      <c r="E92" s="463"/>
      <c r="F92" s="456"/>
      <c r="G92" s="465" t="s">
        <v>30</v>
      </c>
      <c r="H92" s="466"/>
      <c r="I92" s="463">
        <f>68+81+81+67+120</f>
        <v>417</v>
      </c>
      <c r="J92" s="464"/>
    </row>
    <row r="93" spans="2:10" ht="12.75">
      <c r="B93" s="465" t="s">
        <v>58</v>
      </c>
      <c r="C93" s="466"/>
      <c r="D93" s="463">
        <f>72+76+112+51</f>
        <v>311</v>
      </c>
      <c r="E93" s="463"/>
      <c r="F93" s="456"/>
      <c r="G93" s="465" t="s">
        <v>58</v>
      </c>
      <c r="H93" s="466"/>
      <c r="I93" s="463">
        <f>143+70+55+99</f>
        <v>367</v>
      </c>
      <c r="J93" s="464"/>
    </row>
    <row r="94" spans="2:10" ht="12.75">
      <c r="B94" s="465" t="s">
        <v>31</v>
      </c>
      <c r="C94" s="466"/>
      <c r="D94" s="463">
        <f>48+30+34+34</f>
        <v>146</v>
      </c>
      <c r="E94" s="463"/>
      <c r="F94" s="456"/>
      <c r="G94" s="465" t="s">
        <v>31</v>
      </c>
      <c r="H94" s="466"/>
      <c r="I94" s="463">
        <f>37+42+29+42</f>
        <v>150</v>
      </c>
      <c r="J94" s="464"/>
    </row>
    <row r="95" spans="2:10" ht="12.75">
      <c r="B95" s="465" t="s">
        <v>59</v>
      </c>
      <c r="C95" s="466"/>
      <c r="D95" s="463">
        <f>48+72+33+59</f>
        <v>212</v>
      </c>
      <c r="E95" s="463"/>
      <c r="F95" s="456"/>
      <c r="G95" s="465" t="s">
        <v>59</v>
      </c>
      <c r="H95" s="466"/>
      <c r="I95" s="463">
        <f>72+76+41+53</f>
        <v>242</v>
      </c>
      <c r="J95" s="464"/>
    </row>
    <row r="96" spans="2:10" ht="12.75">
      <c r="B96" s="465" t="s">
        <v>33</v>
      </c>
      <c r="C96" s="466"/>
      <c r="D96" s="463">
        <f>27+36+40+37</f>
        <v>140</v>
      </c>
      <c r="E96" s="463"/>
      <c r="F96" s="456"/>
      <c r="G96" s="465" t="s">
        <v>33</v>
      </c>
      <c r="H96" s="466"/>
      <c r="I96" s="463">
        <f>38+42+29+32</f>
        <v>141</v>
      </c>
      <c r="J96" s="464"/>
    </row>
    <row r="97" spans="2:10" ht="12.75">
      <c r="B97" s="465" t="s">
        <v>61</v>
      </c>
      <c r="C97" s="466"/>
      <c r="D97" s="463">
        <f>46+39+38+32</f>
        <v>155</v>
      </c>
      <c r="E97" s="463"/>
      <c r="F97" s="456"/>
      <c r="G97" s="465" t="s">
        <v>61</v>
      </c>
      <c r="H97" s="466"/>
      <c r="I97" s="463">
        <f>28+41+34+26</f>
        <v>129</v>
      </c>
      <c r="J97" s="464"/>
    </row>
    <row r="98" spans="2:10" ht="12.75">
      <c r="B98" s="465" t="s">
        <v>60</v>
      </c>
      <c r="C98" s="466"/>
      <c r="D98" s="463">
        <f>31+33+36+32</f>
        <v>132</v>
      </c>
      <c r="E98" s="463"/>
      <c r="F98" s="456"/>
      <c r="G98" s="465" t="s">
        <v>60</v>
      </c>
      <c r="H98" s="466"/>
      <c r="I98" s="463">
        <f>33+60+31+25</f>
        <v>149</v>
      </c>
      <c r="J98" s="464"/>
    </row>
    <row r="99" spans="2:10" ht="12.75">
      <c r="B99" s="462" t="s">
        <v>155</v>
      </c>
      <c r="C99" s="463"/>
      <c r="D99" s="463">
        <f>7+7+3+5</f>
        <v>22</v>
      </c>
      <c r="E99" s="463"/>
      <c r="F99" s="456"/>
      <c r="G99" s="462" t="s">
        <v>155</v>
      </c>
      <c r="H99" s="463"/>
      <c r="I99" s="463">
        <v>12</v>
      </c>
      <c r="J99" s="464"/>
    </row>
    <row r="100" spans="2:10" ht="12.75">
      <c r="B100" s="467" t="s">
        <v>319</v>
      </c>
      <c r="C100" s="468"/>
      <c r="D100" s="468"/>
      <c r="E100" s="468"/>
      <c r="F100" s="456"/>
      <c r="G100" s="467" t="s">
        <v>319</v>
      </c>
      <c r="H100" s="468"/>
      <c r="I100" s="468"/>
      <c r="J100" s="469"/>
    </row>
    <row r="101" spans="2:10" ht="12.75">
      <c r="B101" s="465" t="s">
        <v>32</v>
      </c>
      <c r="C101" s="466"/>
      <c r="D101" s="463">
        <f>25+38+37+31</f>
        <v>131</v>
      </c>
      <c r="E101" s="463"/>
      <c r="F101" s="456"/>
      <c r="G101" s="465" t="s">
        <v>32</v>
      </c>
      <c r="H101" s="466"/>
      <c r="I101" s="463">
        <f>29+29+38+42</f>
        <v>138</v>
      </c>
      <c r="J101" s="464"/>
    </row>
    <row r="102" spans="2:10" ht="12.75">
      <c r="B102" s="465" t="s">
        <v>34</v>
      </c>
      <c r="C102" s="466"/>
      <c r="D102" s="463">
        <f>125+155+145+180</f>
        <v>605</v>
      </c>
      <c r="E102" s="463"/>
      <c r="F102" s="456"/>
      <c r="G102" s="465" t="s">
        <v>34</v>
      </c>
      <c r="H102" s="466"/>
      <c r="I102" s="463">
        <f>165+150+145+145</f>
        <v>605</v>
      </c>
      <c r="J102" s="464"/>
    </row>
    <row r="103" spans="2:10" ht="12.75">
      <c r="B103" s="465" t="s">
        <v>35</v>
      </c>
      <c r="C103" s="466"/>
      <c r="D103" s="463">
        <f>75+95+110+95</f>
        <v>375</v>
      </c>
      <c r="E103" s="463"/>
      <c r="F103" s="456"/>
      <c r="G103" s="465" t="s">
        <v>35</v>
      </c>
      <c r="H103" s="466"/>
      <c r="I103" s="463">
        <f>102+96+87+95</f>
        <v>380</v>
      </c>
      <c r="J103" s="464"/>
    </row>
    <row r="104" spans="2:10" ht="13.5" thickBot="1">
      <c r="B104" s="470" t="s">
        <v>11</v>
      </c>
      <c r="C104" s="471"/>
      <c r="D104" s="472">
        <f>D89+D90+D91+D92+D93+D94+D95+D96+D97+D98+D99+D101+D102+D103</f>
        <v>3937</v>
      </c>
      <c r="E104" s="472"/>
      <c r="F104" s="456"/>
      <c r="G104" s="470" t="s">
        <v>11</v>
      </c>
      <c r="H104" s="471"/>
      <c r="I104" s="472">
        <f>I89+I90+I91+I92+I93+I94+I95+I96+I97+I98+I99+I101+I102+I103</f>
        <v>4240</v>
      </c>
      <c r="J104" s="473"/>
    </row>
    <row r="105" spans="2:10" ht="12.75">
      <c r="B105" s="474"/>
      <c r="C105" s="455"/>
      <c r="D105" s="455"/>
      <c r="E105" s="455"/>
      <c r="F105" s="456"/>
      <c r="G105" s="455"/>
      <c r="H105" s="455"/>
      <c r="I105" s="455"/>
      <c r="J105" s="476"/>
    </row>
    <row r="106" spans="2:10" ht="12.75">
      <c r="B106" s="479" t="s">
        <v>329</v>
      </c>
      <c r="C106" s="480"/>
      <c r="D106" s="480"/>
      <c r="E106" s="480"/>
      <c r="F106" s="456"/>
      <c r="G106" s="479" t="s">
        <v>330</v>
      </c>
      <c r="H106" s="480"/>
      <c r="I106" s="480"/>
      <c r="J106" s="481"/>
    </row>
    <row r="107" spans="2:10" ht="12.75">
      <c r="B107" s="459" t="s">
        <v>307</v>
      </c>
      <c r="C107" s="460"/>
      <c r="D107" s="460" t="s">
        <v>28</v>
      </c>
      <c r="E107" s="460"/>
      <c r="F107" s="456"/>
      <c r="G107" s="459" t="s">
        <v>307</v>
      </c>
      <c r="H107" s="460"/>
      <c r="I107" s="460" t="s">
        <v>28</v>
      </c>
      <c r="J107" s="461"/>
    </row>
    <row r="108" spans="2:10" ht="12.75">
      <c r="B108" s="462" t="s">
        <v>29</v>
      </c>
      <c r="C108" s="463"/>
      <c r="D108" s="463">
        <f>150+210+245+198+224</f>
        <v>1027</v>
      </c>
      <c r="E108" s="463"/>
      <c r="F108" s="456"/>
      <c r="G108" s="462" t="s">
        <v>29</v>
      </c>
      <c r="H108" s="463"/>
      <c r="I108" s="463">
        <f>285+77+215</f>
        <v>577</v>
      </c>
      <c r="J108" s="464"/>
    </row>
    <row r="109" spans="2:10" ht="12.75">
      <c r="B109" s="462" t="s">
        <v>294</v>
      </c>
      <c r="C109" s="463"/>
      <c r="D109" s="463">
        <f>218+200+247+204+122</f>
        <v>991</v>
      </c>
      <c r="E109" s="463"/>
      <c r="F109" s="456"/>
      <c r="G109" s="462" t="s">
        <v>294</v>
      </c>
      <c r="H109" s="463"/>
      <c r="I109" s="463">
        <f>248+165+72</f>
        <v>485</v>
      </c>
      <c r="J109" s="464"/>
    </row>
    <row r="110" spans="2:10" ht="12.75">
      <c r="B110" s="465" t="s">
        <v>62</v>
      </c>
      <c r="C110" s="466"/>
      <c r="D110" s="463">
        <f>41+44+54+50+31</f>
        <v>220</v>
      </c>
      <c r="E110" s="463"/>
      <c r="F110" s="456"/>
      <c r="G110" s="465" t="s">
        <v>62</v>
      </c>
      <c r="H110" s="466"/>
      <c r="I110" s="463">
        <f>78+42+17</f>
        <v>137</v>
      </c>
      <c r="J110" s="464"/>
    </row>
    <row r="111" spans="2:10" ht="12.75">
      <c r="B111" s="465" t="s">
        <v>30</v>
      </c>
      <c r="C111" s="466"/>
      <c r="D111" s="463">
        <f>101+119+57+83+86</f>
        <v>446</v>
      </c>
      <c r="E111" s="463"/>
      <c r="F111" s="456"/>
      <c r="G111" s="465" t="s">
        <v>30</v>
      </c>
      <c r="H111" s="466"/>
      <c r="I111" s="463">
        <f>83+109+33</f>
        <v>225</v>
      </c>
      <c r="J111" s="464"/>
    </row>
    <row r="112" spans="2:10" ht="12.75">
      <c r="B112" s="465" t="s">
        <v>58</v>
      </c>
      <c r="C112" s="466"/>
      <c r="D112" s="463">
        <f>56+194+149+167+81</f>
        <v>647</v>
      </c>
      <c r="E112" s="463"/>
      <c r="F112" s="456"/>
      <c r="G112" s="465" t="s">
        <v>58</v>
      </c>
      <c r="H112" s="466"/>
      <c r="I112" s="463">
        <f>78+104</f>
        <v>182</v>
      </c>
      <c r="J112" s="464"/>
    </row>
    <row r="113" spans="2:10" ht="12.75">
      <c r="B113" s="465" t="s">
        <v>31</v>
      </c>
      <c r="C113" s="466"/>
      <c r="D113" s="463">
        <f>51+29+40+48+41</f>
        <v>209</v>
      </c>
      <c r="E113" s="463"/>
      <c r="F113" s="456"/>
      <c r="G113" s="465" t="s">
        <v>31</v>
      </c>
      <c r="H113" s="466"/>
      <c r="I113" s="463">
        <f>47+58+16</f>
        <v>121</v>
      </c>
      <c r="J113" s="464"/>
    </row>
    <row r="114" spans="2:10" ht="12.75">
      <c r="B114" s="465" t="s">
        <v>59</v>
      </c>
      <c r="C114" s="466"/>
      <c r="D114" s="463">
        <f>77+52+90+64+83</f>
        <v>366</v>
      </c>
      <c r="E114" s="463"/>
      <c r="F114" s="456"/>
      <c r="G114" s="465" t="s">
        <v>59</v>
      </c>
      <c r="H114" s="466"/>
      <c r="I114" s="463">
        <f>90+31+48</f>
        <v>169</v>
      </c>
      <c r="J114" s="464"/>
    </row>
    <row r="115" spans="2:10" ht="12.75">
      <c r="B115" s="465" t="s">
        <v>33</v>
      </c>
      <c r="C115" s="466"/>
      <c r="D115" s="463">
        <f>46+45+34+51+40</f>
        <v>216</v>
      </c>
      <c r="E115" s="463"/>
      <c r="F115" s="456"/>
      <c r="G115" s="465" t="s">
        <v>33</v>
      </c>
      <c r="H115" s="466"/>
      <c r="I115" s="463">
        <f>44+63+15</f>
        <v>122</v>
      </c>
      <c r="J115" s="464"/>
    </row>
    <row r="116" spans="2:10" ht="12.75">
      <c r="B116" s="465" t="s">
        <v>61</v>
      </c>
      <c r="C116" s="466"/>
      <c r="D116" s="463">
        <f>43+32+42+50+43</f>
        <v>210</v>
      </c>
      <c r="E116" s="463"/>
      <c r="F116" s="456"/>
      <c r="G116" s="465" t="s">
        <v>61</v>
      </c>
      <c r="H116" s="466"/>
      <c r="I116" s="463">
        <f>40+55+17</f>
        <v>112</v>
      </c>
      <c r="J116" s="464"/>
    </row>
    <row r="117" spans="2:10" ht="12.75">
      <c r="B117" s="465" t="s">
        <v>60</v>
      </c>
      <c r="C117" s="466"/>
      <c r="D117" s="463">
        <f>62+26+39+48+41</f>
        <v>216</v>
      </c>
      <c r="E117" s="463"/>
      <c r="F117" s="456"/>
      <c r="G117" s="465" t="s">
        <v>60</v>
      </c>
      <c r="H117" s="466"/>
      <c r="I117" s="463">
        <f>38+56</f>
        <v>94</v>
      </c>
      <c r="J117" s="464"/>
    </row>
    <row r="118" spans="2:10" ht="12.75">
      <c r="B118" s="462" t="s">
        <v>155</v>
      </c>
      <c r="C118" s="463"/>
      <c r="D118" s="463">
        <v>21</v>
      </c>
      <c r="E118" s="463"/>
      <c r="F118" s="456"/>
      <c r="G118" s="462" t="s">
        <v>155</v>
      </c>
      <c r="H118" s="463"/>
      <c r="I118" s="463">
        <v>19</v>
      </c>
      <c r="J118" s="464"/>
    </row>
    <row r="119" spans="2:10" ht="12.75">
      <c r="B119" s="467" t="s">
        <v>319</v>
      </c>
      <c r="C119" s="468"/>
      <c r="D119" s="468"/>
      <c r="E119" s="468"/>
      <c r="F119" s="456"/>
      <c r="G119" s="467" t="s">
        <v>319</v>
      </c>
      <c r="H119" s="468"/>
      <c r="I119" s="468"/>
      <c r="J119" s="469"/>
    </row>
    <row r="120" spans="2:10" ht="12.75">
      <c r="B120" s="465" t="s">
        <v>32</v>
      </c>
      <c r="C120" s="466"/>
      <c r="D120" s="463">
        <f>71+26+54+35+34</f>
        <v>220</v>
      </c>
      <c r="E120" s="463"/>
      <c r="F120" s="456"/>
      <c r="G120" s="465" t="s">
        <v>32</v>
      </c>
      <c r="H120" s="466"/>
      <c r="I120" s="463">
        <f>31+47+13</f>
        <v>91</v>
      </c>
      <c r="J120" s="464"/>
    </row>
    <row r="121" spans="2:10" ht="12.75">
      <c r="B121" s="465" t="s">
        <v>34</v>
      </c>
      <c r="C121" s="466"/>
      <c r="D121" s="463">
        <f>230+135+280+175+170</f>
        <v>990</v>
      </c>
      <c r="E121" s="463"/>
      <c r="F121" s="456"/>
      <c r="G121" s="465" t="s">
        <v>34</v>
      </c>
      <c r="H121" s="466"/>
      <c r="I121" s="463">
        <f>160+226+70</f>
        <v>456</v>
      </c>
      <c r="J121" s="464"/>
    </row>
    <row r="122" spans="2:10" ht="12.75">
      <c r="B122" s="465" t="s">
        <v>35</v>
      </c>
      <c r="C122" s="466"/>
      <c r="D122" s="463">
        <f>215+104+81+105+175</f>
        <v>680</v>
      </c>
      <c r="E122" s="463"/>
      <c r="F122" s="456"/>
      <c r="G122" s="465" t="s">
        <v>35</v>
      </c>
      <c r="H122" s="466"/>
      <c r="I122" s="463">
        <f>97+135+42</f>
        <v>274</v>
      </c>
      <c r="J122" s="464"/>
    </row>
    <row r="123" spans="2:10" ht="13.5" thickBot="1">
      <c r="B123" s="470" t="s">
        <v>11</v>
      </c>
      <c r="C123" s="471"/>
      <c r="D123" s="472">
        <f>D108+D109+D110+D111+D112+D113+D114+D115+D116+D117+D118+D120+D121+D122</f>
        <v>6459</v>
      </c>
      <c r="E123" s="472"/>
      <c r="F123" s="457"/>
      <c r="G123" s="470" t="s">
        <v>11</v>
      </c>
      <c r="H123" s="471"/>
      <c r="I123" s="472">
        <f>I108+I109+I110+I111+I112+I113+I114+I115+I116+I117+I118+I120+I121+I122</f>
        <v>3064</v>
      </c>
      <c r="J123" s="473"/>
    </row>
    <row r="124" spans="2:10" ht="12.75">
      <c r="B124" s="441" t="s">
        <v>336</v>
      </c>
      <c r="C124" s="441"/>
      <c r="D124" s="441"/>
      <c r="E124" s="441"/>
      <c r="F124" s="441"/>
      <c r="G124" s="441"/>
      <c r="H124" s="441"/>
      <c r="I124" s="441"/>
      <c r="J124" s="441"/>
    </row>
    <row r="125" spans="2:10" ht="12.75">
      <c r="B125" s="442"/>
      <c r="C125" s="442"/>
      <c r="D125" s="442"/>
      <c r="E125" s="442"/>
      <c r="F125" s="442"/>
      <c r="G125" s="442"/>
      <c r="H125" s="442"/>
      <c r="I125" s="442"/>
      <c r="J125" s="442"/>
    </row>
    <row r="126" spans="2:10" ht="12.75">
      <c r="B126" s="442"/>
      <c r="C126" s="442"/>
      <c r="D126" s="442"/>
      <c r="E126" s="442"/>
      <c r="F126" s="442"/>
      <c r="G126" s="442"/>
      <c r="H126" s="442"/>
      <c r="I126" s="442"/>
      <c r="J126" s="442"/>
    </row>
    <row r="127" spans="2:10" ht="12.75">
      <c r="B127" s="442"/>
      <c r="C127" s="442"/>
      <c r="D127" s="442"/>
      <c r="E127" s="442"/>
      <c r="F127" s="442"/>
      <c r="G127" s="442"/>
      <c r="H127" s="442"/>
      <c r="I127" s="442"/>
      <c r="J127" s="442"/>
    </row>
    <row r="128" spans="2:10" ht="12.75">
      <c r="B128" s="442"/>
      <c r="C128" s="442"/>
      <c r="D128" s="442"/>
      <c r="E128" s="442"/>
      <c r="F128" s="442"/>
      <c r="G128" s="442"/>
      <c r="H128" s="442"/>
      <c r="I128" s="442"/>
      <c r="J128" s="442"/>
    </row>
    <row r="129" spans="2:10" ht="12.75">
      <c r="B129" s="442"/>
      <c r="C129" s="442"/>
      <c r="D129" s="442"/>
      <c r="E129" s="442"/>
      <c r="F129" s="442"/>
      <c r="G129" s="442"/>
      <c r="H129" s="442"/>
      <c r="I129" s="442"/>
      <c r="J129" s="442"/>
    </row>
    <row r="130" spans="2:10" ht="12.75">
      <c r="B130" s="485" t="s">
        <v>335</v>
      </c>
      <c r="C130" s="485"/>
      <c r="D130" s="485"/>
      <c r="E130" s="485"/>
      <c r="F130" s="265"/>
      <c r="G130" s="485" t="s">
        <v>335</v>
      </c>
      <c r="H130" s="485"/>
      <c r="I130" s="485"/>
      <c r="J130" s="485"/>
    </row>
    <row r="131" spans="2:10" ht="12.75">
      <c r="B131" s="486"/>
      <c r="C131" s="486"/>
      <c r="D131" s="486"/>
      <c r="E131" s="486"/>
      <c r="F131" s="264"/>
      <c r="G131" s="486"/>
      <c r="H131" s="486"/>
      <c r="I131" s="486"/>
      <c r="J131" s="486"/>
    </row>
    <row r="132" spans="2:10" ht="12.75" customHeight="1">
      <c r="B132" s="479" t="s">
        <v>331</v>
      </c>
      <c r="C132" s="480"/>
      <c r="D132" s="480"/>
      <c r="E132" s="480"/>
      <c r="F132" s="478"/>
      <c r="G132" s="479" t="s">
        <v>332</v>
      </c>
      <c r="H132" s="480"/>
      <c r="I132" s="480"/>
      <c r="J132" s="480"/>
    </row>
    <row r="133" spans="2:10" ht="12.75" customHeight="1">
      <c r="B133" s="459" t="s">
        <v>307</v>
      </c>
      <c r="C133" s="460"/>
      <c r="D133" s="460" t="s">
        <v>333</v>
      </c>
      <c r="E133" s="460"/>
      <c r="F133" s="478"/>
      <c r="G133" s="459" t="s">
        <v>307</v>
      </c>
      <c r="H133" s="460"/>
      <c r="I133" s="460" t="s">
        <v>333</v>
      </c>
      <c r="J133" s="460"/>
    </row>
    <row r="134" spans="2:10" ht="12.75" customHeight="1">
      <c r="B134" s="462" t="s">
        <v>29</v>
      </c>
      <c r="C134" s="463"/>
      <c r="D134" s="483">
        <f aca="true" t="shared" si="0" ref="D134:D144">D9+I9+D29+I29+D49+I49+D69+I69+D89+I89+D108+I108</f>
        <v>8840</v>
      </c>
      <c r="E134" s="483"/>
      <c r="F134" s="478"/>
      <c r="G134" s="462" t="s">
        <v>29</v>
      </c>
      <c r="H134" s="463"/>
      <c r="I134" s="463">
        <v>8540</v>
      </c>
      <c r="J134" s="463"/>
    </row>
    <row r="135" spans="2:10" ht="12.75" customHeight="1">
      <c r="B135" s="462" t="s">
        <v>294</v>
      </c>
      <c r="C135" s="463"/>
      <c r="D135" s="463">
        <f t="shared" si="0"/>
        <v>8793</v>
      </c>
      <c r="E135" s="463"/>
      <c r="F135" s="478"/>
      <c r="G135" s="462" t="s">
        <v>294</v>
      </c>
      <c r="H135" s="463"/>
      <c r="I135" s="463">
        <v>8650</v>
      </c>
      <c r="J135" s="463"/>
    </row>
    <row r="136" spans="2:10" ht="12.75" customHeight="1">
      <c r="B136" s="465" t="s">
        <v>62</v>
      </c>
      <c r="C136" s="466"/>
      <c r="D136" s="463">
        <f t="shared" si="0"/>
        <v>1645</v>
      </c>
      <c r="E136" s="463"/>
      <c r="F136" s="478"/>
      <c r="G136" s="465" t="s">
        <v>62</v>
      </c>
      <c r="H136" s="466"/>
      <c r="I136" s="463">
        <v>1500</v>
      </c>
      <c r="J136" s="463"/>
    </row>
    <row r="137" spans="2:10" ht="12.75">
      <c r="B137" s="465" t="s">
        <v>30</v>
      </c>
      <c r="C137" s="466"/>
      <c r="D137" s="463">
        <f t="shared" si="0"/>
        <v>4681</v>
      </c>
      <c r="E137" s="463"/>
      <c r="F137" s="478"/>
      <c r="G137" s="465" t="s">
        <v>30</v>
      </c>
      <c r="H137" s="466"/>
      <c r="I137" s="463">
        <v>4441</v>
      </c>
      <c r="J137" s="463"/>
    </row>
    <row r="138" spans="2:10" ht="12.75" customHeight="1">
      <c r="B138" s="465" t="s">
        <v>58</v>
      </c>
      <c r="C138" s="466"/>
      <c r="D138" s="463">
        <f t="shared" si="0"/>
        <v>4478</v>
      </c>
      <c r="E138" s="463"/>
      <c r="F138" s="478"/>
      <c r="G138" s="465" t="s">
        <v>58</v>
      </c>
      <c r="H138" s="466"/>
      <c r="I138" s="463">
        <v>3978</v>
      </c>
      <c r="J138" s="463"/>
    </row>
    <row r="139" spans="2:10" ht="12.75" customHeight="1">
      <c r="B139" s="465" t="s">
        <v>31</v>
      </c>
      <c r="C139" s="466"/>
      <c r="D139" s="463">
        <f t="shared" si="0"/>
        <v>1812</v>
      </c>
      <c r="E139" s="463"/>
      <c r="F139" s="478"/>
      <c r="G139" s="465" t="s">
        <v>31</v>
      </c>
      <c r="H139" s="466"/>
      <c r="I139" s="463">
        <v>1507</v>
      </c>
      <c r="J139" s="463"/>
    </row>
    <row r="140" spans="2:10" ht="14.25" customHeight="1">
      <c r="B140" s="465" t="s">
        <v>59</v>
      </c>
      <c r="C140" s="466"/>
      <c r="D140" s="463">
        <f t="shared" si="0"/>
        <v>2767</v>
      </c>
      <c r="E140" s="463"/>
      <c r="F140" s="478"/>
      <c r="G140" s="465" t="s">
        <v>59</v>
      </c>
      <c r="H140" s="466"/>
      <c r="I140" s="463">
        <v>1670</v>
      </c>
      <c r="J140" s="463"/>
    </row>
    <row r="141" spans="2:10" ht="14.25" customHeight="1">
      <c r="B141" s="465" t="s">
        <v>33</v>
      </c>
      <c r="C141" s="466"/>
      <c r="D141" s="463">
        <f t="shared" si="0"/>
        <v>1813</v>
      </c>
      <c r="E141" s="463"/>
      <c r="F141" s="478"/>
      <c r="G141" s="465" t="s">
        <v>33</v>
      </c>
      <c r="H141" s="466"/>
      <c r="I141" s="463">
        <v>1057</v>
      </c>
      <c r="J141" s="463"/>
    </row>
    <row r="142" spans="2:10" ht="12.75">
      <c r="B142" s="465" t="s">
        <v>61</v>
      </c>
      <c r="C142" s="466"/>
      <c r="D142" s="463">
        <f t="shared" si="0"/>
        <v>1541</v>
      </c>
      <c r="E142" s="463"/>
      <c r="F142" s="478"/>
      <c r="G142" s="465" t="s">
        <v>61</v>
      </c>
      <c r="H142" s="466"/>
      <c r="I142" s="463">
        <v>1331</v>
      </c>
      <c r="J142" s="463"/>
    </row>
    <row r="143" spans="2:10" ht="12.75">
      <c r="B143" s="465" t="s">
        <v>60</v>
      </c>
      <c r="C143" s="466"/>
      <c r="D143" s="463">
        <f t="shared" si="0"/>
        <v>1514</v>
      </c>
      <c r="E143" s="463"/>
      <c r="F143" s="478"/>
      <c r="G143" s="465" t="s">
        <v>60</v>
      </c>
      <c r="H143" s="466"/>
      <c r="I143" s="463">
        <v>1415</v>
      </c>
      <c r="J143" s="463"/>
    </row>
    <row r="144" spans="2:10" ht="12.75">
      <c r="B144" s="462" t="s">
        <v>155</v>
      </c>
      <c r="C144" s="463"/>
      <c r="D144" s="463">
        <f t="shared" si="0"/>
        <v>204</v>
      </c>
      <c r="E144" s="463"/>
      <c r="F144" s="478"/>
      <c r="G144" s="462" t="s">
        <v>155</v>
      </c>
      <c r="H144" s="463"/>
      <c r="I144" s="463">
        <v>100</v>
      </c>
      <c r="J144" s="463"/>
    </row>
    <row r="145" spans="2:10" ht="12.75">
      <c r="B145" s="467" t="s">
        <v>319</v>
      </c>
      <c r="C145" s="468"/>
      <c r="D145" s="468"/>
      <c r="E145" s="468"/>
      <c r="F145" s="478"/>
      <c r="G145" s="467" t="s">
        <v>319</v>
      </c>
      <c r="H145" s="468"/>
      <c r="I145" s="468"/>
      <c r="J145" s="468"/>
    </row>
    <row r="146" spans="2:10" ht="12.75">
      <c r="B146" s="465" t="s">
        <v>32</v>
      </c>
      <c r="C146" s="466"/>
      <c r="D146" s="463">
        <f>D21+I21+D41+I41+D61+I61+D81+I81+D101+I101+D120+I120</f>
        <v>1427</v>
      </c>
      <c r="E146" s="463"/>
      <c r="F146" s="478"/>
      <c r="G146" s="465" t="s">
        <v>32</v>
      </c>
      <c r="H146" s="466"/>
      <c r="I146" s="463">
        <v>1197</v>
      </c>
      <c r="J146" s="463"/>
    </row>
    <row r="147" spans="2:10" ht="12.75">
      <c r="B147" s="465" t="s">
        <v>34</v>
      </c>
      <c r="C147" s="466"/>
      <c r="D147" s="463">
        <f>D22+I22+D42+I42+D62+I62+D82+I82+D102+I102+D121+I121</f>
        <v>6887</v>
      </c>
      <c r="E147" s="463"/>
      <c r="F147" s="478"/>
      <c r="G147" s="465" t="s">
        <v>34</v>
      </c>
      <c r="H147" s="466"/>
      <c r="I147" s="484">
        <v>5737</v>
      </c>
      <c r="J147" s="463"/>
    </row>
    <row r="148" spans="2:10" ht="12.75">
      <c r="B148" s="465" t="s">
        <v>35</v>
      </c>
      <c r="C148" s="466"/>
      <c r="D148" s="463">
        <f>D23+I23+D43+I43+D63+I63+D83+I83+D103+I103+D122+I122</f>
        <v>4547</v>
      </c>
      <c r="E148" s="463"/>
      <c r="F148" s="478"/>
      <c r="G148" s="465" t="s">
        <v>35</v>
      </c>
      <c r="H148" s="466"/>
      <c r="I148" s="484">
        <v>3857</v>
      </c>
      <c r="J148" s="463"/>
    </row>
    <row r="149" spans="2:10" ht="13.5" thickBot="1">
      <c r="B149" s="470" t="s">
        <v>11</v>
      </c>
      <c r="C149" s="471"/>
      <c r="D149" s="472">
        <f>D134+D135+D136+D137+D138+D139+D140+D141+D142+D143+D144+D146+D147+D148</f>
        <v>50949</v>
      </c>
      <c r="E149" s="472"/>
      <c r="F149" s="478"/>
      <c r="G149" s="470" t="s">
        <v>11</v>
      </c>
      <c r="H149" s="471"/>
      <c r="I149" s="487">
        <f>I134+I135+I136+I137+I138+I139+I140+I141+I142+I143+I144+I146+I147+I148</f>
        <v>44980</v>
      </c>
      <c r="J149" s="472"/>
    </row>
    <row r="150" spans="2:10" ht="12.75">
      <c r="B150" s="452"/>
      <c r="C150" s="452"/>
      <c r="D150" s="452"/>
      <c r="E150" s="452"/>
      <c r="F150" s="452"/>
      <c r="G150" s="452"/>
      <c r="H150" s="452"/>
      <c r="I150" s="452"/>
      <c r="J150" s="452"/>
    </row>
    <row r="151" spans="2:10" ht="12.75">
      <c r="B151" s="452"/>
      <c r="C151" s="452"/>
      <c r="D151" s="452"/>
      <c r="E151" s="452"/>
      <c r="F151" s="452"/>
      <c r="G151" s="452"/>
      <c r="H151" s="452"/>
      <c r="I151" s="452"/>
      <c r="J151" s="452"/>
    </row>
  </sheetData>
  <sheetProtection/>
  <mergeCells count="494">
    <mergeCell ref="B150:J151"/>
    <mergeCell ref="G149:H149"/>
    <mergeCell ref="I149:J149"/>
    <mergeCell ref="B149:C149"/>
    <mergeCell ref="D149:E149"/>
    <mergeCell ref="G148:H148"/>
    <mergeCell ref="I148:J148"/>
    <mergeCell ref="B148:C148"/>
    <mergeCell ref="D148:E148"/>
    <mergeCell ref="G147:H147"/>
    <mergeCell ref="I147:J147"/>
    <mergeCell ref="B147:C147"/>
    <mergeCell ref="D147:E147"/>
    <mergeCell ref="G130:J131"/>
    <mergeCell ref="B130:E131"/>
    <mergeCell ref="B145:E145"/>
    <mergeCell ref="G145:J145"/>
    <mergeCell ref="B146:C146"/>
    <mergeCell ref="D146:E146"/>
    <mergeCell ref="G146:H146"/>
    <mergeCell ref="I146:J146"/>
    <mergeCell ref="G143:H143"/>
    <mergeCell ref="I143:J143"/>
    <mergeCell ref="B143:C143"/>
    <mergeCell ref="D143:E143"/>
    <mergeCell ref="G144:H144"/>
    <mergeCell ref="I144:J144"/>
    <mergeCell ref="B144:C144"/>
    <mergeCell ref="D144:E144"/>
    <mergeCell ref="G141:H141"/>
    <mergeCell ref="I141:J141"/>
    <mergeCell ref="B141:C141"/>
    <mergeCell ref="D141:E141"/>
    <mergeCell ref="G142:H142"/>
    <mergeCell ref="I142:J142"/>
    <mergeCell ref="B142:C142"/>
    <mergeCell ref="D142:E142"/>
    <mergeCell ref="G139:H139"/>
    <mergeCell ref="I139:J139"/>
    <mergeCell ref="B139:C139"/>
    <mergeCell ref="D139:E139"/>
    <mergeCell ref="G140:H140"/>
    <mergeCell ref="I140:J140"/>
    <mergeCell ref="B140:C140"/>
    <mergeCell ref="D140:E140"/>
    <mergeCell ref="G137:H137"/>
    <mergeCell ref="I137:J137"/>
    <mergeCell ref="B137:C137"/>
    <mergeCell ref="D137:E137"/>
    <mergeCell ref="G138:H138"/>
    <mergeCell ref="I138:J138"/>
    <mergeCell ref="B138:C138"/>
    <mergeCell ref="D138:E138"/>
    <mergeCell ref="I134:J134"/>
    <mergeCell ref="G135:H135"/>
    <mergeCell ref="I135:J135"/>
    <mergeCell ref="B135:C135"/>
    <mergeCell ref="D135:E135"/>
    <mergeCell ref="G136:H136"/>
    <mergeCell ref="I136:J136"/>
    <mergeCell ref="B136:C136"/>
    <mergeCell ref="D136:E136"/>
    <mergeCell ref="B132:E132"/>
    <mergeCell ref="F132:F149"/>
    <mergeCell ref="G132:J132"/>
    <mergeCell ref="B133:C133"/>
    <mergeCell ref="D133:E133"/>
    <mergeCell ref="G133:H133"/>
    <mergeCell ref="I133:J133"/>
    <mergeCell ref="B134:C134"/>
    <mergeCell ref="D134:E134"/>
    <mergeCell ref="G134:H134"/>
    <mergeCell ref="G122:H122"/>
    <mergeCell ref="I122:J122"/>
    <mergeCell ref="B122:C122"/>
    <mergeCell ref="D122:E122"/>
    <mergeCell ref="G123:H123"/>
    <mergeCell ref="I123:J123"/>
    <mergeCell ref="B123:C123"/>
    <mergeCell ref="D123:E123"/>
    <mergeCell ref="B120:C120"/>
    <mergeCell ref="D120:E120"/>
    <mergeCell ref="G120:H120"/>
    <mergeCell ref="I120:J120"/>
    <mergeCell ref="G121:H121"/>
    <mergeCell ref="I121:J121"/>
    <mergeCell ref="B121:C121"/>
    <mergeCell ref="D121:E121"/>
    <mergeCell ref="G118:H118"/>
    <mergeCell ref="I118:J118"/>
    <mergeCell ref="B118:C118"/>
    <mergeCell ref="D118:E118"/>
    <mergeCell ref="B119:E119"/>
    <mergeCell ref="G119:J119"/>
    <mergeCell ref="G116:H116"/>
    <mergeCell ref="I116:J116"/>
    <mergeCell ref="B116:C116"/>
    <mergeCell ref="D116:E116"/>
    <mergeCell ref="G117:H117"/>
    <mergeCell ref="I117:J117"/>
    <mergeCell ref="B117:C117"/>
    <mergeCell ref="D117:E117"/>
    <mergeCell ref="G114:H114"/>
    <mergeCell ref="I114:J114"/>
    <mergeCell ref="B114:C114"/>
    <mergeCell ref="D114:E114"/>
    <mergeCell ref="G115:H115"/>
    <mergeCell ref="I115:J115"/>
    <mergeCell ref="B115:C115"/>
    <mergeCell ref="D115:E115"/>
    <mergeCell ref="G112:H112"/>
    <mergeCell ref="I112:J112"/>
    <mergeCell ref="B112:C112"/>
    <mergeCell ref="D112:E112"/>
    <mergeCell ref="G113:H113"/>
    <mergeCell ref="I113:J113"/>
    <mergeCell ref="B113:C113"/>
    <mergeCell ref="D113:E113"/>
    <mergeCell ref="G110:H110"/>
    <mergeCell ref="I110:J110"/>
    <mergeCell ref="B110:C110"/>
    <mergeCell ref="D110:E110"/>
    <mergeCell ref="G111:H111"/>
    <mergeCell ref="I111:J111"/>
    <mergeCell ref="B111:C111"/>
    <mergeCell ref="D111:E111"/>
    <mergeCell ref="G108:H108"/>
    <mergeCell ref="I108:J108"/>
    <mergeCell ref="B108:C108"/>
    <mergeCell ref="D108:E108"/>
    <mergeCell ref="G109:H109"/>
    <mergeCell ref="I109:J109"/>
    <mergeCell ref="B109:C109"/>
    <mergeCell ref="D109:E109"/>
    <mergeCell ref="B105:E105"/>
    <mergeCell ref="G105:J105"/>
    <mergeCell ref="B106:E106"/>
    <mergeCell ref="G106:J106"/>
    <mergeCell ref="G107:H107"/>
    <mergeCell ref="I107:J107"/>
    <mergeCell ref="B107:C107"/>
    <mergeCell ref="D107:E107"/>
    <mergeCell ref="G103:H103"/>
    <mergeCell ref="I103:J103"/>
    <mergeCell ref="B103:C103"/>
    <mergeCell ref="D103:E103"/>
    <mergeCell ref="G104:H104"/>
    <mergeCell ref="I104:J104"/>
    <mergeCell ref="B104:C104"/>
    <mergeCell ref="D104:E104"/>
    <mergeCell ref="B101:C101"/>
    <mergeCell ref="D101:E101"/>
    <mergeCell ref="G101:H101"/>
    <mergeCell ref="I101:J101"/>
    <mergeCell ref="G102:H102"/>
    <mergeCell ref="I102:J102"/>
    <mergeCell ref="B102:C102"/>
    <mergeCell ref="D102:E102"/>
    <mergeCell ref="G99:H99"/>
    <mergeCell ref="I99:J99"/>
    <mergeCell ref="B99:C99"/>
    <mergeCell ref="D99:E99"/>
    <mergeCell ref="B100:E100"/>
    <mergeCell ref="G100:J100"/>
    <mergeCell ref="G97:H97"/>
    <mergeCell ref="I97:J97"/>
    <mergeCell ref="B97:C97"/>
    <mergeCell ref="D97:E97"/>
    <mergeCell ref="G98:H98"/>
    <mergeCell ref="I98:J98"/>
    <mergeCell ref="B98:C98"/>
    <mergeCell ref="D98:E98"/>
    <mergeCell ref="G95:H95"/>
    <mergeCell ref="I95:J95"/>
    <mergeCell ref="B95:C95"/>
    <mergeCell ref="D95:E95"/>
    <mergeCell ref="G96:H96"/>
    <mergeCell ref="I96:J96"/>
    <mergeCell ref="B96:C96"/>
    <mergeCell ref="D96:E96"/>
    <mergeCell ref="G93:H93"/>
    <mergeCell ref="I93:J93"/>
    <mergeCell ref="B93:C93"/>
    <mergeCell ref="D93:E93"/>
    <mergeCell ref="G94:H94"/>
    <mergeCell ref="I94:J94"/>
    <mergeCell ref="B94:C94"/>
    <mergeCell ref="D94:E94"/>
    <mergeCell ref="G91:H91"/>
    <mergeCell ref="I91:J91"/>
    <mergeCell ref="B91:C91"/>
    <mergeCell ref="D91:E91"/>
    <mergeCell ref="G92:H92"/>
    <mergeCell ref="I92:J92"/>
    <mergeCell ref="B92:C92"/>
    <mergeCell ref="D92:E92"/>
    <mergeCell ref="G89:H89"/>
    <mergeCell ref="I89:J89"/>
    <mergeCell ref="B89:C89"/>
    <mergeCell ref="D89:E89"/>
    <mergeCell ref="G90:H90"/>
    <mergeCell ref="I90:J90"/>
    <mergeCell ref="B90:C90"/>
    <mergeCell ref="D90:E90"/>
    <mergeCell ref="B85:E86"/>
    <mergeCell ref="G85:J86"/>
    <mergeCell ref="B87:E87"/>
    <mergeCell ref="G87:J87"/>
    <mergeCell ref="G88:H88"/>
    <mergeCell ref="I88:J88"/>
    <mergeCell ref="B88:C88"/>
    <mergeCell ref="D88:E88"/>
    <mergeCell ref="G83:H83"/>
    <mergeCell ref="I83:J83"/>
    <mergeCell ref="B83:C83"/>
    <mergeCell ref="D83:E83"/>
    <mergeCell ref="G84:H84"/>
    <mergeCell ref="I84:J84"/>
    <mergeCell ref="B84:C84"/>
    <mergeCell ref="D84:E84"/>
    <mergeCell ref="B81:C81"/>
    <mergeCell ref="D81:E81"/>
    <mergeCell ref="G81:H81"/>
    <mergeCell ref="I81:J81"/>
    <mergeCell ref="G82:H82"/>
    <mergeCell ref="I82:J82"/>
    <mergeCell ref="B82:C82"/>
    <mergeCell ref="D82:E82"/>
    <mergeCell ref="G79:H79"/>
    <mergeCell ref="I79:J79"/>
    <mergeCell ref="B79:C79"/>
    <mergeCell ref="D79:E79"/>
    <mergeCell ref="B80:E80"/>
    <mergeCell ref="G80:J80"/>
    <mergeCell ref="G77:H77"/>
    <mergeCell ref="I77:J77"/>
    <mergeCell ref="B77:C77"/>
    <mergeCell ref="D77:E77"/>
    <mergeCell ref="G78:H78"/>
    <mergeCell ref="I78:J78"/>
    <mergeCell ref="B78:C78"/>
    <mergeCell ref="D78:E78"/>
    <mergeCell ref="G75:H75"/>
    <mergeCell ref="I75:J75"/>
    <mergeCell ref="B75:C75"/>
    <mergeCell ref="D75:E75"/>
    <mergeCell ref="G76:H76"/>
    <mergeCell ref="I76:J76"/>
    <mergeCell ref="B76:C76"/>
    <mergeCell ref="D76:E76"/>
    <mergeCell ref="G73:H73"/>
    <mergeCell ref="I73:J73"/>
    <mergeCell ref="B73:C73"/>
    <mergeCell ref="D73:E73"/>
    <mergeCell ref="G74:H74"/>
    <mergeCell ref="I74:J74"/>
    <mergeCell ref="B74:C74"/>
    <mergeCell ref="D74:E74"/>
    <mergeCell ref="G71:H71"/>
    <mergeCell ref="I71:J71"/>
    <mergeCell ref="B71:C71"/>
    <mergeCell ref="D71:E71"/>
    <mergeCell ref="G72:H72"/>
    <mergeCell ref="I72:J72"/>
    <mergeCell ref="B72:C72"/>
    <mergeCell ref="D72:E72"/>
    <mergeCell ref="G69:H69"/>
    <mergeCell ref="I69:J69"/>
    <mergeCell ref="B69:C69"/>
    <mergeCell ref="D69:E69"/>
    <mergeCell ref="G70:H70"/>
    <mergeCell ref="I70:J70"/>
    <mergeCell ref="B70:C70"/>
    <mergeCell ref="D70:E70"/>
    <mergeCell ref="B65:E66"/>
    <mergeCell ref="G65:J66"/>
    <mergeCell ref="B67:E67"/>
    <mergeCell ref="G67:J67"/>
    <mergeCell ref="G68:H68"/>
    <mergeCell ref="I68:J68"/>
    <mergeCell ref="B68:C68"/>
    <mergeCell ref="D68:E68"/>
    <mergeCell ref="G63:H63"/>
    <mergeCell ref="I63:J63"/>
    <mergeCell ref="B63:C63"/>
    <mergeCell ref="D63:E63"/>
    <mergeCell ref="G64:H64"/>
    <mergeCell ref="I64:J64"/>
    <mergeCell ref="B64:C64"/>
    <mergeCell ref="D64:E64"/>
    <mergeCell ref="B61:C61"/>
    <mergeCell ref="D61:E61"/>
    <mergeCell ref="G61:H61"/>
    <mergeCell ref="I61:J61"/>
    <mergeCell ref="G62:H62"/>
    <mergeCell ref="I62:J62"/>
    <mergeCell ref="B62:C62"/>
    <mergeCell ref="D62:E62"/>
    <mergeCell ref="G59:H59"/>
    <mergeCell ref="I59:J59"/>
    <mergeCell ref="B59:C59"/>
    <mergeCell ref="D59:E59"/>
    <mergeCell ref="B60:E60"/>
    <mergeCell ref="G60:J60"/>
    <mergeCell ref="G57:H57"/>
    <mergeCell ref="I57:J57"/>
    <mergeCell ref="B57:C57"/>
    <mergeCell ref="D57:E57"/>
    <mergeCell ref="G58:H58"/>
    <mergeCell ref="I58:J58"/>
    <mergeCell ref="B58:C58"/>
    <mergeCell ref="D58:E58"/>
    <mergeCell ref="G55:H55"/>
    <mergeCell ref="I55:J55"/>
    <mergeCell ref="B55:C55"/>
    <mergeCell ref="D55:E55"/>
    <mergeCell ref="G56:H56"/>
    <mergeCell ref="I56:J56"/>
    <mergeCell ref="B56:C56"/>
    <mergeCell ref="D56:E56"/>
    <mergeCell ref="G53:H53"/>
    <mergeCell ref="I53:J53"/>
    <mergeCell ref="B53:C53"/>
    <mergeCell ref="D53:E53"/>
    <mergeCell ref="G54:H54"/>
    <mergeCell ref="I54:J54"/>
    <mergeCell ref="B54:C54"/>
    <mergeCell ref="D54:E54"/>
    <mergeCell ref="G51:H51"/>
    <mergeCell ref="I51:J51"/>
    <mergeCell ref="B51:C51"/>
    <mergeCell ref="D51:E51"/>
    <mergeCell ref="G52:H52"/>
    <mergeCell ref="I52:J52"/>
    <mergeCell ref="B52:C52"/>
    <mergeCell ref="D52:E52"/>
    <mergeCell ref="G49:H49"/>
    <mergeCell ref="I49:J49"/>
    <mergeCell ref="B49:C49"/>
    <mergeCell ref="D49:E49"/>
    <mergeCell ref="G50:H50"/>
    <mergeCell ref="I50:J50"/>
    <mergeCell ref="B50:C50"/>
    <mergeCell ref="D50:E50"/>
    <mergeCell ref="B45:E46"/>
    <mergeCell ref="G45:J46"/>
    <mergeCell ref="B47:E47"/>
    <mergeCell ref="G47:J47"/>
    <mergeCell ref="G48:H48"/>
    <mergeCell ref="I48:J48"/>
    <mergeCell ref="B48:C48"/>
    <mergeCell ref="D48:E48"/>
    <mergeCell ref="G43:H43"/>
    <mergeCell ref="I43:J43"/>
    <mergeCell ref="B43:C43"/>
    <mergeCell ref="D43:E43"/>
    <mergeCell ref="G44:H44"/>
    <mergeCell ref="I44:J44"/>
    <mergeCell ref="B44:C44"/>
    <mergeCell ref="D44:E44"/>
    <mergeCell ref="B41:C41"/>
    <mergeCell ref="D41:E41"/>
    <mergeCell ref="G41:H41"/>
    <mergeCell ref="I41:J41"/>
    <mergeCell ref="G42:H42"/>
    <mergeCell ref="I42:J42"/>
    <mergeCell ref="B42:C42"/>
    <mergeCell ref="D42:E42"/>
    <mergeCell ref="G39:H39"/>
    <mergeCell ref="I39:J39"/>
    <mergeCell ref="B39:C39"/>
    <mergeCell ref="D39:E39"/>
    <mergeCell ref="B40:E40"/>
    <mergeCell ref="G40:J40"/>
    <mergeCell ref="G37:H37"/>
    <mergeCell ref="I37:J37"/>
    <mergeCell ref="B37:C37"/>
    <mergeCell ref="D37:E37"/>
    <mergeCell ref="G38:H38"/>
    <mergeCell ref="I38:J38"/>
    <mergeCell ref="B38:C38"/>
    <mergeCell ref="D38:E38"/>
    <mergeCell ref="G35:H35"/>
    <mergeCell ref="I35:J35"/>
    <mergeCell ref="B35:C35"/>
    <mergeCell ref="D35:E35"/>
    <mergeCell ref="G36:H36"/>
    <mergeCell ref="I36:J36"/>
    <mergeCell ref="B36:C36"/>
    <mergeCell ref="D36:E36"/>
    <mergeCell ref="G33:H33"/>
    <mergeCell ref="I33:J33"/>
    <mergeCell ref="B33:C33"/>
    <mergeCell ref="D33:E33"/>
    <mergeCell ref="G34:H34"/>
    <mergeCell ref="I34:J34"/>
    <mergeCell ref="B34:C34"/>
    <mergeCell ref="D34:E34"/>
    <mergeCell ref="G31:H31"/>
    <mergeCell ref="I31:J31"/>
    <mergeCell ref="B31:C31"/>
    <mergeCell ref="D31:E31"/>
    <mergeCell ref="G32:H32"/>
    <mergeCell ref="I32:J32"/>
    <mergeCell ref="B32:C32"/>
    <mergeCell ref="D32:E32"/>
    <mergeCell ref="G29:H29"/>
    <mergeCell ref="I29:J29"/>
    <mergeCell ref="B29:C29"/>
    <mergeCell ref="D29:E29"/>
    <mergeCell ref="G30:H30"/>
    <mergeCell ref="I30:J30"/>
    <mergeCell ref="B30:C30"/>
    <mergeCell ref="D30:E30"/>
    <mergeCell ref="B25:E26"/>
    <mergeCell ref="G25:J26"/>
    <mergeCell ref="B27:E27"/>
    <mergeCell ref="G27:J27"/>
    <mergeCell ref="G28:H28"/>
    <mergeCell ref="I28:J28"/>
    <mergeCell ref="B28:C28"/>
    <mergeCell ref="D28:E28"/>
    <mergeCell ref="G23:H23"/>
    <mergeCell ref="I23:J23"/>
    <mergeCell ref="B23:C23"/>
    <mergeCell ref="D23:E23"/>
    <mergeCell ref="G24:H24"/>
    <mergeCell ref="I24:J24"/>
    <mergeCell ref="B24:C24"/>
    <mergeCell ref="D24:E24"/>
    <mergeCell ref="B21:C21"/>
    <mergeCell ref="D21:E21"/>
    <mergeCell ref="G21:H21"/>
    <mergeCell ref="I21:J21"/>
    <mergeCell ref="G22:H22"/>
    <mergeCell ref="I22:J22"/>
    <mergeCell ref="B22:C22"/>
    <mergeCell ref="D22:E22"/>
    <mergeCell ref="G19:H19"/>
    <mergeCell ref="I19:J19"/>
    <mergeCell ref="B19:C19"/>
    <mergeCell ref="D19:E19"/>
    <mergeCell ref="B20:E20"/>
    <mergeCell ref="G20:J20"/>
    <mergeCell ref="G17:H17"/>
    <mergeCell ref="I17:J17"/>
    <mergeCell ref="B17:C17"/>
    <mergeCell ref="D17:E17"/>
    <mergeCell ref="G18:H18"/>
    <mergeCell ref="I18:J18"/>
    <mergeCell ref="B18:C18"/>
    <mergeCell ref="D18:E18"/>
    <mergeCell ref="G15:H15"/>
    <mergeCell ref="I15:J15"/>
    <mergeCell ref="B15:C15"/>
    <mergeCell ref="D15:E15"/>
    <mergeCell ref="G16:H16"/>
    <mergeCell ref="I16:J16"/>
    <mergeCell ref="B16:C16"/>
    <mergeCell ref="D16:E16"/>
    <mergeCell ref="G13:H13"/>
    <mergeCell ref="I13:J13"/>
    <mergeCell ref="B13:C13"/>
    <mergeCell ref="D13:E13"/>
    <mergeCell ref="G14:H14"/>
    <mergeCell ref="I14:J14"/>
    <mergeCell ref="B14:C14"/>
    <mergeCell ref="D14:E14"/>
    <mergeCell ref="G11:H11"/>
    <mergeCell ref="I11:J11"/>
    <mergeCell ref="B11:C11"/>
    <mergeCell ref="D11:E11"/>
    <mergeCell ref="G12:H12"/>
    <mergeCell ref="I12:J12"/>
    <mergeCell ref="B12:C12"/>
    <mergeCell ref="D12:E12"/>
    <mergeCell ref="B9:C9"/>
    <mergeCell ref="D9:E9"/>
    <mergeCell ref="G9:H9"/>
    <mergeCell ref="I9:J9"/>
    <mergeCell ref="B10:C10"/>
    <mergeCell ref="D10:E10"/>
    <mergeCell ref="G10:H10"/>
    <mergeCell ref="I10:J10"/>
    <mergeCell ref="B124:J129"/>
    <mergeCell ref="B1:J5"/>
    <mergeCell ref="B6:J6"/>
    <mergeCell ref="B7:E7"/>
    <mergeCell ref="F7:F123"/>
    <mergeCell ref="G7:J7"/>
    <mergeCell ref="B8:C8"/>
    <mergeCell ref="D8:E8"/>
    <mergeCell ref="G8:H8"/>
    <mergeCell ref="I8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45" max="9" man="1"/>
    <brk id="85" max="255" man="1"/>
    <brk id="1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7.140625" style="0" customWidth="1"/>
    <col min="2" max="2" width="10.7109375" style="0" customWidth="1"/>
    <col min="3" max="3" width="9.8515625" style="0" customWidth="1"/>
    <col min="4" max="4" width="11.421875" style="0" customWidth="1"/>
    <col min="5" max="5" width="10.421875" style="0" customWidth="1"/>
    <col min="6" max="6" width="12.00390625" style="0" customWidth="1"/>
    <col min="7" max="7" width="9.28125" style="0" customWidth="1"/>
    <col min="8" max="9" width="8.57421875" style="0" customWidth="1"/>
    <col min="10" max="10" width="9.57421875" style="0" customWidth="1"/>
    <col min="11" max="11" width="9.00390625" style="0" customWidth="1"/>
  </cols>
  <sheetData>
    <row r="1" spans="1:11" ht="18">
      <c r="A1" s="306" t="s">
        <v>233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ht="18.75" thickBot="1">
      <c r="A2" s="309" t="s">
        <v>234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1" ht="12.75">
      <c r="A3" s="312" t="s">
        <v>235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13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6.5" thickBot="1">
      <c r="A5" s="313" t="s">
        <v>254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7" ht="13.5" thickBot="1"/>
    <row r="8" spans="1:11" ht="25.5" customHeight="1" thickBot="1">
      <c r="A8" s="301" t="s">
        <v>237</v>
      </c>
      <c r="B8" s="303" t="s">
        <v>264</v>
      </c>
      <c r="C8" s="304"/>
      <c r="D8" s="304"/>
      <c r="E8" s="304"/>
      <c r="F8" s="304"/>
      <c r="G8" s="304"/>
      <c r="H8" s="304"/>
      <c r="I8" s="304"/>
      <c r="J8" s="304"/>
      <c r="K8" s="305"/>
    </row>
    <row r="9" spans="1:11" ht="48.75" thickBot="1">
      <c r="A9" s="302"/>
      <c r="B9" s="104" t="s">
        <v>239</v>
      </c>
      <c r="C9" s="105" t="s">
        <v>255</v>
      </c>
      <c r="D9" s="105" t="s">
        <v>256</v>
      </c>
      <c r="E9" s="105" t="s">
        <v>257</v>
      </c>
      <c r="F9" s="105" t="s">
        <v>258</v>
      </c>
      <c r="G9" s="105" t="s">
        <v>259</v>
      </c>
      <c r="H9" s="105" t="s">
        <v>260</v>
      </c>
      <c r="I9" s="105" t="s">
        <v>261</v>
      </c>
      <c r="J9" s="105" t="s">
        <v>262</v>
      </c>
      <c r="K9" s="106" t="s">
        <v>263</v>
      </c>
    </row>
    <row r="10" spans="1:11" ht="12.75">
      <c r="A10" s="100" t="s">
        <v>135</v>
      </c>
      <c r="B10" s="89">
        <v>6</v>
      </c>
      <c r="C10" s="24">
        <v>8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88">
        <v>0</v>
      </c>
    </row>
    <row r="11" spans="1:11" ht="12.75">
      <c r="A11" s="101" t="s">
        <v>136</v>
      </c>
      <c r="B11" s="89">
        <v>14</v>
      </c>
      <c r="C11" s="24">
        <v>7</v>
      </c>
      <c r="D11" s="24">
        <v>0</v>
      </c>
      <c r="E11" s="24">
        <v>1</v>
      </c>
      <c r="F11" s="24">
        <v>2</v>
      </c>
      <c r="G11" s="24">
        <v>1</v>
      </c>
      <c r="H11" s="24">
        <v>1</v>
      </c>
      <c r="I11" s="24">
        <v>0</v>
      </c>
      <c r="J11" s="24">
        <v>0</v>
      </c>
      <c r="K11" s="88">
        <v>0</v>
      </c>
    </row>
    <row r="12" spans="1:11" ht="12.75">
      <c r="A12" s="101" t="s">
        <v>137</v>
      </c>
      <c r="B12" s="89">
        <v>14</v>
      </c>
      <c r="C12" s="24">
        <v>5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9</v>
      </c>
      <c r="J12" s="24">
        <v>0</v>
      </c>
      <c r="K12" s="88">
        <v>0</v>
      </c>
    </row>
    <row r="13" spans="1:11" ht="12.75">
      <c r="A13" s="101" t="s">
        <v>138</v>
      </c>
      <c r="B13" s="89">
        <v>8</v>
      </c>
      <c r="C13" s="24">
        <v>4</v>
      </c>
      <c r="D13" s="24">
        <v>1</v>
      </c>
      <c r="E13" s="24">
        <v>0</v>
      </c>
      <c r="F13" s="24">
        <v>1</v>
      </c>
      <c r="G13" s="24">
        <v>0</v>
      </c>
      <c r="H13" s="24">
        <v>0</v>
      </c>
      <c r="I13" s="24">
        <v>1</v>
      </c>
      <c r="J13" s="24">
        <v>0</v>
      </c>
      <c r="K13" s="88">
        <v>0</v>
      </c>
    </row>
    <row r="14" spans="1:11" ht="12.75">
      <c r="A14" s="101" t="s">
        <v>139</v>
      </c>
      <c r="B14" s="89">
        <v>13</v>
      </c>
      <c r="C14" s="24">
        <v>6</v>
      </c>
      <c r="D14" s="24">
        <v>1</v>
      </c>
      <c r="E14" s="24">
        <v>1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88">
        <v>0</v>
      </c>
    </row>
    <row r="15" spans="1:11" ht="12.75">
      <c r="A15" s="101" t="s">
        <v>140</v>
      </c>
      <c r="B15" s="89">
        <v>13</v>
      </c>
      <c r="C15" s="24">
        <v>3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4</v>
      </c>
      <c r="J15" s="24">
        <v>0</v>
      </c>
      <c r="K15" s="88">
        <v>0</v>
      </c>
    </row>
    <row r="16" spans="1:11" ht="12.75">
      <c r="A16" s="101" t="s">
        <v>141</v>
      </c>
      <c r="B16" s="89">
        <v>15</v>
      </c>
      <c r="C16" s="24">
        <v>6</v>
      </c>
      <c r="D16" s="24">
        <v>1</v>
      </c>
      <c r="E16" s="24">
        <v>0</v>
      </c>
      <c r="F16" s="24">
        <v>0</v>
      </c>
      <c r="G16" s="24">
        <v>0</v>
      </c>
      <c r="H16" s="24">
        <v>0</v>
      </c>
      <c r="I16" s="24">
        <v>2</v>
      </c>
      <c r="J16" s="24">
        <v>1</v>
      </c>
      <c r="K16" s="88">
        <v>0</v>
      </c>
    </row>
    <row r="17" spans="1:11" ht="12.75">
      <c r="A17" s="101" t="s">
        <v>142</v>
      </c>
      <c r="B17" s="89">
        <v>8</v>
      </c>
      <c r="C17" s="24">
        <v>1</v>
      </c>
      <c r="D17" s="24">
        <v>0</v>
      </c>
      <c r="E17" s="24">
        <v>0</v>
      </c>
      <c r="F17" s="24">
        <v>0</v>
      </c>
      <c r="G17" s="24">
        <v>1</v>
      </c>
      <c r="H17" s="24">
        <v>1</v>
      </c>
      <c r="I17" s="24">
        <v>5</v>
      </c>
      <c r="J17" s="24">
        <v>1</v>
      </c>
      <c r="K17" s="88">
        <v>0</v>
      </c>
    </row>
    <row r="18" spans="1:11" ht="12.75">
      <c r="A18" s="101" t="s">
        <v>143</v>
      </c>
      <c r="B18" s="89">
        <v>10</v>
      </c>
      <c r="C18" s="24">
        <v>8</v>
      </c>
      <c r="D18" s="24">
        <v>1</v>
      </c>
      <c r="E18" s="24">
        <v>0</v>
      </c>
      <c r="F18" s="24">
        <v>0</v>
      </c>
      <c r="G18" s="24">
        <v>0</v>
      </c>
      <c r="H18" s="24">
        <v>1</v>
      </c>
      <c r="I18" s="24">
        <v>2</v>
      </c>
      <c r="J18" s="24">
        <v>0</v>
      </c>
      <c r="K18" s="88">
        <v>0</v>
      </c>
    </row>
    <row r="19" spans="1:11" ht="12.75">
      <c r="A19" s="101" t="s">
        <v>144</v>
      </c>
      <c r="B19" s="89">
        <v>8</v>
      </c>
      <c r="C19" s="24">
        <v>3</v>
      </c>
      <c r="D19" s="24">
        <v>2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1</v>
      </c>
      <c r="K19" s="88">
        <v>0</v>
      </c>
    </row>
    <row r="20" spans="1:11" ht="12.75">
      <c r="A20" s="101" t="s">
        <v>145</v>
      </c>
      <c r="B20" s="89">
        <v>23</v>
      </c>
      <c r="C20" s="24">
        <v>7</v>
      </c>
      <c r="D20" s="24">
        <v>1</v>
      </c>
      <c r="E20" s="24">
        <v>1</v>
      </c>
      <c r="F20" s="24">
        <v>1</v>
      </c>
      <c r="G20" s="24">
        <v>0</v>
      </c>
      <c r="H20" s="24">
        <v>1</v>
      </c>
      <c r="I20" s="24">
        <v>8</v>
      </c>
      <c r="J20" s="24">
        <v>1</v>
      </c>
      <c r="K20" s="88">
        <v>0</v>
      </c>
    </row>
    <row r="21" spans="1:11" ht="12.75">
      <c r="A21" s="101" t="s">
        <v>146</v>
      </c>
      <c r="B21" s="89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88">
        <v>0</v>
      </c>
    </row>
    <row r="22" spans="1:11" ht="13.5" thickBot="1">
      <c r="A22" s="102" t="s">
        <v>11</v>
      </c>
      <c r="B22" s="103">
        <f aca="true" t="shared" si="0" ref="B22:K22">SUM(B10:B21)</f>
        <v>132</v>
      </c>
      <c r="C22" s="98">
        <f t="shared" si="0"/>
        <v>58</v>
      </c>
      <c r="D22" s="98">
        <f t="shared" si="0"/>
        <v>8</v>
      </c>
      <c r="E22" s="98">
        <f t="shared" si="0"/>
        <v>4</v>
      </c>
      <c r="F22" s="98">
        <f t="shared" si="0"/>
        <v>5</v>
      </c>
      <c r="G22" s="98">
        <f t="shared" si="0"/>
        <v>3</v>
      </c>
      <c r="H22" s="98">
        <f t="shared" si="0"/>
        <v>5</v>
      </c>
      <c r="I22" s="98">
        <f t="shared" si="0"/>
        <v>33</v>
      </c>
      <c r="J22" s="98">
        <f t="shared" si="0"/>
        <v>4</v>
      </c>
      <c r="K22" s="99">
        <f t="shared" si="0"/>
        <v>0</v>
      </c>
    </row>
    <row r="23" ht="13.5" thickBot="1">
      <c r="A23" s="241" t="s">
        <v>298</v>
      </c>
    </row>
    <row r="24" ht="15.75">
      <c r="F24" s="113"/>
    </row>
  </sheetData>
  <sheetProtection/>
  <mergeCells count="6">
    <mergeCell ref="A8:A9"/>
    <mergeCell ref="B8:K8"/>
    <mergeCell ref="A1:K1"/>
    <mergeCell ref="A2:K2"/>
    <mergeCell ref="A3:K3"/>
    <mergeCell ref="A5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5.8515625" style="0" customWidth="1"/>
    <col min="4" max="5" width="9.7109375" style="0" customWidth="1"/>
    <col min="6" max="6" width="9.57421875" style="0" customWidth="1"/>
    <col min="7" max="7" width="6.00390625" style="0" customWidth="1"/>
    <col min="8" max="8" width="6.57421875" style="0" customWidth="1"/>
    <col min="9" max="9" width="7.421875" style="0" customWidth="1"/>
    <col min="10" max="10" width="6.421875" style="0" customWidth="1"/>
    <col min="11" max="11" width="10.421875" style="0" customWidth="1"/>
    <col min="12" max="12" width="7.00390625" style="0" customWidth="1"/>
    <col min="13" max="13" width="6.28125" style="0" customWidth="1"/>
    <col min="14" max="14" width="9.421875" style="0" customWidth="1"/>
    <col min="16" max="16" width="9.421875" style="0" customWidth="1"/>
  </cols>
  <sheetData>
    <row r="1" spans="1:16" ht="18">
      <c r="A1" s="306" t="s">
        <v>233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8"/>
    </row>
    <row r="2" spans="1:16" ht="18.75" thickBot="1">
      <c r="A2" s="309" t="s">
        <v>234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1"/>
    </row>
    <row r="3" spans="1:16" ht="12.75">
      <c r="A3" s="312" t="s">
        <v>235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13.5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6.5" thickBot="1">
      <c r="A5" s="313" t="s">
        <v>236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5"/>
    </row>
    <row r="7" ht="13.5" thickBot="1"/>
    <row r="8" spans="1:16" ht="25.5" customHeight="1" thickBot="1">
      <c r="A8" s="301" t="s">
        <v>237</v>
      </c>
      <c r="B8" s="303" t="s">
        <v>253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</row>
    <row r="9" spans="1:16" ht="23.25" thickBot="1">
      <c r="A9" s="319"/>
      <c r="B9" s="96" t="s">
        <v>238</v>
      </c>
      <c r="C9" s="97" t="s">
        <v>239</v>
      </c>
      <c r="D9" s="91" t="s">
        <v>240</v>
      </c>
      <c r="E9" s="91" t="s">
        <v>241</v>
      </c>
      <c r="F9" s="91" t="s">
        <v>242</v>
      </c>
      <c r="G9" s="91" t="s">
        <v>243</v>
      </c>
      <c r="H9" s="91" t="s">
        <v>244</v>
      </c>
      <c r="I9" s="91" t="s">
        <v>245</v>
      </c>
      <c r="J9" s="91" t="s">
        <v>246</v>
      </c>
      <c r="K9" s="91" t="s">
        <v>247</v>
      </c>
      <c r="L9" s="91" t="s">
        <v>248</v>
      </c>
      <c r="M9" s="91" t="s">
        <v>249</v>
      </c>
      <c r="N9" s="91" t="s">
        <v>250</v>
      </c>
      <c r="O9" s="91" t="s">
        <v>251</v>
      </c>
      <c r="P9" s="92" t="s">
        <v>252</v>
      </c>
    </row>
    <row r="10" spans="1:16" ht="12.75">
      <c r="A10" s="93" t="s">
        <v>135</v>
      </c>
      <c r="B10" s="24">
        <v>0</v>
      </c>
      <c r="C10" s="24">
        <v>9</v>
      </c>
      <c r="D10" s="24">
        <v>3</v>
      </c>
      <c r="E10" s="24">
        <v>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2</v>
      </c>
      <c r="L10" s="24">
        <v>0</v>
      </c>
      <c r="M10" s="24">
        <v>1</v>
      </c>
      <c r="N10" s="24">
        <v>0</v>
      </c>
      <c r="O10" s="24">
        <v>0</v>
      </c>
      <c r="P10" s="88">
        <v>0</v>
      </c>
    </row>
    <row r="11" spans="1:16" ht="12.75">
      <c r="A11" s="94" t="s">
        <v>136</v>
      </c>
      <c r="B11" s="24">
        <v>6</v>
      </c>
      <c r="C11" s="24">
        <v>27</v>
      </c>
      <c r="D11" s="24">
        <v>17</v>
      </c>
      <c r="E11" s="24">
        <v>14</v>
      </c>
      <c r="F11" s="24">
        <v>3</v>
      </c>
      <c r="G11" s="24">
        <v>0</v>
      </c>
      <c r="H11" s="24">
        <v>12</v>
      </c>
      <c r="I11" s="24">
        <v>6</v>
      </c>
      <c r="J11" s="24">
        <v>6</v>
      </c>
      <c r="K11" s="24">
        <v>5</v>
      </c>
      <c r="L11" s="24">
        <v>5</v>
      </c>
      <c r="M11" s="24">
        <v>4</v>
      </c>
      <c r="N11" s="24">
        <v>6</v>
      </c>
      <c r="O11" s="24">
        <v>2</v>
      </c>
      <c r="P11" s="88">
        <v>5</v>
      </c>
    </row>
    <row r="12" spans="1:16" ht="12.75">
      <c r="A12" s="94" t="s">
        <v>137</v>
      </c>
      <c r="B12" s="24">
        <v>3</v>
      </c>
      <c r="C12" s="24">
        <v>48</v>
      </c>
      <c r="D12" s="24">
        <v>18</v>
      </c>
      <c r="E12" s="24">
        <v>19</v>
      </c>
      <c r="F12" s="24">
        <v>2</v>
      </c>
      <c r="G12" s="24">
        <v>0</v>
      </c>
      <c r="H12" s="24">
        <v>16</v>
      </c>
      <c r="I12" s="24">
        <v>9</v>
      </c>
      <c r="J12" s="24">
        <v>11</v>
      </c>
      <c r="K12" s="24">
        <v>1</v>
      </c>
      <c r="L12" s="24">
        <v>0</v>
      </c>
      <c r="M12" s="24">
        <v>1</v>
      </c>
      <c r="N12" s="24">
        <v>1</v>
      </c>
      <c r="O12" s="24">
        <v>1</v>
      </c>
      <c r="P12" s="88">
        <v>5</v>
      </c>
    </row>
    <row r="13" spans="1:16" ht="12.75">
      <c r="A13" s="94" t="s">
        <v>138</v>
      </c>
      <c r="B13" s="24">
        <v>11</v>
      </c>
      <c r="C13" s="24">
        <v>38</v>
      </c>
      <c r="D13" s="24">
        <v>27</v>
      </c>
      <c r="E13" s="24">
        <v>25</v>
      </c>
      <c r="F13" s="24">
        <v>0</v>
      </c>
      <c r="G13" s="24">
        <v>0</v>
      </c>
      <c r="H13" s="24">
        <v>14</v>
      </c>
      <c r="I13" s="24">
        <v>13</v>
      </c>
      <c r="J13" s="24">
        <v>11</v>
      </c>
      <c r="K13" s="24">
        <v>6</v>
      </c>
      <c r="L13" s="24">
        <v>3</v>
      </c>
      <c r="M13" s="24">
        <v>8</v>
      </c>
      <c r="N13" s="24">
        <v>3</v>
      </c>
      <c r="O13" s="24">
        <v>4</v>
      </c>
      <c r="P13" s="88">
        <v>1</v>
      </c>
    </row>
    <row r="14" spans="1:16" ht="12.75">
      <c r="A14" s="94" t="s">
        <v>139</v>
      </c>
      <c r="B14" s="24">
        <v>3</v>
      </c>
      <c r="C14" s="24">
        <v>44</v>
      </c>
      <c r="D14" s="24">
        <v>15</v>
      </c>
      <c r="E14" s="24">
        <v>18</v>
      </c>
      <c r="F14" s="24">
        <v>3</v>
      </c>
      <c r="G14" s="24">
        <v>1</v>
      </c>
      <c r="H14" s="24">
        <v>10</v>
      </c>
      <c r="I14" s="24">
        <v>14</v>
      </c>
      <c r="J14" s="24">
        <v>8</v>
      </c>
      <c r="K14" s="24">
        <v>4</v>
      </c>
      <c r="L14" s="24">
        <v>3</v>
      </c>
      <c r="M14" s="24">
        <v>0</v>
      </c>
      <c r="N14" s="24">
        <v>2</v>
      </c>
      <c r="O14" s="24">
        <v>0</v>
      </c>
      <c r="P14" s="88">
        <v>7</v>
      </c>
    </row>
    <row r="15" spans="1:16" ht="12.75">
      <c r="A15" s="94" t="s">
        <v>140</v>
      </c>
      <c r="B15" s="24">
        <v>11</v>
      </c>
      <c r="C15" s="24">
        <v>43</v>
      </c>
      <c r="D15" s="24">
        <v>24</v>
      </c>
      <c r="E15" s="24">
        <v>31</v>
      </c>
      <c r="F15" s="24">
        <v>3</v>
      </c>
      <c r="G15" s="24">
        <v>0</v>
      </c>
      <c r="H15" s="24">
        <v>12</v>
      </c>
      <c r="I15" s="24">
        <v>5</v>
      </c>
      <c r="J15" s="24">
        <v>25</v>
      </c>
      <c r="K15" s="24">
        <v>2</v>
      </c>
      <c r="L15" s="24">
        <v>3</v>
      </c>
      <c r="M15" s="24">
        <v>5</v>
      </c>
      <c r="N15" s="24">
        <v>3</v>
      </c>
      <c r="O15" s="24">
        <v>3</v>
      </c>
      <c r="P15" s="88">
        <v>12</v>
      </c>
    </row>
    <row r="16" spans="1:16" ht="12.75">
      <c r="A16" s="94" t="s">
        <v>141</v>
      </c>
      <c r="B16" s="24">
        <v>1</v>
      </c>
      <c r="C16" s="24">
        <v>37</v>
      </c>
      <c r="D16" s="24">
        <v>19</v>
      </c>
      <c r="E16" s="24">
        <v>16</v>
      </c>
      <c r="F16" s="24">
        <v>0</v>
      </c>
      <c r="G16" s="24">
        <v>0</v>
      </c>
      <c r="H16" s="24">
        <v>6</v>
      </c>
      <c r="I16" s="24">
        <v>12</v>
      </c>
      <c r="J16" s="24">
        <v>17</v>
      </c>
      <c r="K16" s="24">
        <v>2</v>
      </c>
      <c r="L16" s="24">
        <v>1</v>
      </c>
      <c r="M16" s="24">
        <v>1</v>
      </c>
      <c r="N16" s="24">
        <v>1</v>
      </c>
      <c r="O16" s="24">
        <v>1</v>
      </c>
      <c r="P16" s="88">
        <v>10</v>
      </c>
    </row>
    <row r="17" spans="1:16" ht="12.75">
      <c r="A17" s="94" t="s">
        <v>142</v>
      </c>
      <c r="B17" s="24">
        <v>5</v>
      </c>
      <c r="C17" s="24">
        <v>54</v>
      </c>
      <c r="D17" s="24">
        <v>39</v>
      </c>
      <c r="E17" s="24">
        <v>18</v>
      </c>
      <c r="F17" s="24">
        <v>1</v>
      </c>
      <c r="G17" s="24">
        <v>0</v>
      </c>
      <c r="H17" s="24">
        <v>27</v>
      </c>
      <c r="I17" s="24">
        <v>10</v>
      </c>
      <c r="J17" s="24">
        <v>26</v>
      </c>
      <c r="K17" s="24">
        <v>1</v>
      </c>
      <c r="L17" s="24">
        <v>4</v>
      </c>
      <c r="M17" s="24">
        <v>6</v>
      </c>
      <c r="N17" s="24">
        <v>3</v>
      </c>
      <c r="O17" s="24">
        <v>1</v>
      </c>
      <c r="P17" s="88">
        <v>4</v>
      </c>
    </row>
    <row r="18" spans="1:16" ht="12.75">
      <c r="A18" s="94" t="s">
        <v>143</v>
      </c>
      <c r="B18" s="24">
        <v>7</v>
      </c>
      <c r="C18" s="24">
        <v>42</v>
      </c>
      <c r="D18" s="24">
        <v>36</v>
      </c>
      <c r="E18" s="24">
        <v>20</v>
      </c>
      <c r="F18" s="24">
        <v>1</v>
      </c>
      <c r="G18" s="24">
        <v>0</v>
      </c>
      <c r="H18" s="24">
        <v>19</v>
      </c>
      <c r="I18" s="24">
        <v>12</v>
      </c>
      <c r="J18" s="24">
        <v>8</v>
      </c>
      <c r="K18" s="24">
        <v>2</v>
      </c>
      <c r="L18" s="24">
        <v>0</v>
      </c>
      <c r="M18" s="24">
        <v>6</v>
      </c>
      <c r="N18" s="24">
        <v>1</v>
      </c>
      <c r="O18" s="24">
        <v>1</v>
      </c>
      <c r="P18" s="88">
        <v>3</v>
      </c>
    </row>
    <row r="19" spans="1:16" ht="12.75">
      <c r="A19" s="94" t="s">
        <v>144</v>
      </c>
      <c r="B19" s="24">
        <v>11</v>
      </c>
      <c r="C19" s="24">
        <v>52</v>
      </c>
      <c r="D19" s="24">
        <v>36</v>
      </c>
      <c r="E19" s="24">
        <v>39</v>
      </c>
      <c r="F19" s="24">
        <v>4</v>
      </c>
      <c r="G19" s="24">
        <v>3</v>
      </c>
      <c r="H19" s="24">
        <v>11</v>
      </c>
      <c r="I19" s="24">
        <v>19</v>
      </c>
      <c r="J19" s="24">
        <v>14</v>
      </c>
      <c r="K19" s="24">
        <v>1</v>
      </c>
      <c r="L19" s="24">
        <v>2</v>
      </c>
      <c r="M19" s="24">
        <v>5</v>
      </c>
      <c r="N19" s="24">
        <v>1</v>
      </c>
      <c r="O19" s="24">
        <v>0</v>
      </c>
      <c r="P19" s="88">
        <v>8</v>
      </c>
    </row>
    <row r="20" spans="1:16" ht="12.75">
      <c r="A20" s="94" t="s">
        <v>145</v>
      </c>
      <c r="B20" s="24">
        <v>8</v>
      </c>
      <c r="C20" s="24">
        <v>49</v>
      </c>
      <c r="D20" s="24">
        <v>28</v>
      </c>
      <c r="E20" s="24">
        <v>23</v>
      </c>
      <c r="F20" s="24">
        <v>5</v>
      </c>
      <c r="G20" s="24">
        <v>0</v>
      </c>
      <c r="H20" s="24">
        <v>15</v>
      </c>
      <c r="I20" s="24">
        <v>22</v>
      </c>
      <c r="J20" s="24">
        <v>18</v>
      </c>
      <c r="K20" s="24">
        <v>5</v>
      </c>
      <c r="L20" s="24">
        <v>1</v>
      </c>
      <c r="M20" s="24">
        <v>6</v>
      </c>
      <c r="N20" s="24">
        <v>5</v>
      </c>
      <c r="O20" s="24">
        <v>4</v>
      </c>
      <c r="P20" s="88">
        <v>6</v>
      </c>
    </row>
    <row r="21" spans="1:16" ht="12.75">
      <c r="A21" s="94" t="s">
        <v>146</v>
      </c>
      <c r="B21" s="24">
        <v>10</v>
      </c>
      <c r="C21" s="24">
        <v>33</v>
      </c>
      <c r="D21" s="24">
        <v>8</v>
      </c>
      <c r="E21" s="24">
        <v>14</v>
      </c>
      <c r="F21" s="24">
        <v>3</v>
      </c>
      <c r="G21" s="24">
        <v>0</v>
      </c>
      <c r="H21" s="24">
        <v>11</v>
      </c>
      <c r="I21" s="24">
        <v>6</v>
      </c>
      <c r="J21" s="24">
        <v>21</v>
      </c>
      <c r="K21" s="24">
        <v>0</v>
      </c>
      <c r="L21" s="24">
        <v>4</v>
      </c>
      <c r="M21" s="24">
        <v>5</v>
      </c>
      <c r="N21" s="24">
        <v>3</v>
      </c>
      <c r="O21" s="24">
        <v>6</v>
      </c>
      <c r="P21" s="88">
        <v>10</v>
      </c>
    </row>
    <row r="22" spans="1:16" ht="13.5" thickBot="1">
      <c r="A22" s="95" t="s">
        <v>11</v>
      </c>
      <c r="B22" s="98">
        <f aca="true" t="shared" si="0" ref="B22:P22">SUM(B10:B21)</f>
        <v>76</v>
      </c>
      <c r="C22" s="98">
        <f t="shared" si="0"/>
        <v>476</v>
      </c>
      <c r="D22" s="98">
        <f t="shared" si="0"/>
        <v>270</v>
      </c>
      <c r="E22" s="98">
        <f t="shared" si="0"/>
        <v>241</v>
      </c>
      <c r="F22" s="98">
        <f t="shared" si="0"/>
        <v>25</v>
      </c>
      <c r="G22" s="98">
        <f t="shared" si="0"/>
        <v>4</v>
      </c>
      <c r="H22" s="98">
        <f t="shared" si="0"/>
        <v>153</v>
      </c>
      <c r="I22" s="98">
        <f t="shared" si="0"/>
        <v>128</v>
      </c>
      <c r="J22" s="98">
        <f t="shared" si="0"/>
        <v>165</v>
      </c>
      <c r="K22" s="98">
        <f t="shared" si="0"/>
        <v>31</v>
      </c>
      <c r="L22" s="98">
        <f t="shared" si="0"/>
        <v>26</v>
      </c>
      <c r="M22" s="98">
        <f t="shared" si="0"/>
        <v>48</v>
      </c>
      <c r="N22" s="98">
        <f t="shared" si="0"/>
        <v>29</v>
      </c>
      <c r="O22" s="98">
        <f t="shared" si="0"/>
        <v>23</v>
      </c>
      <c r="P22" s="99">
        <f t="shared" si="0"/>
        <v>71</v>
      </c>
    </row>
    <row r="23" ht="13.5" thickBot="1"/>
    <row r="24" ht="13.5" thickBot="1">
      <c r="F24" s="241" t="s">
        <v>299</v>
      </c>
    </row>
    <row r="25" spans="1:3" ht="13.5" thickBot="1">
      <c r="A25" s="316" t="s">
        <v>265</v>
      </c>
      <c r="B25" s="317"/>
      <c r="C25" s="318"/>
    </row>
    <row r="26" ht="13.5" thickBot="1"/>
    <row r="27" spans="1:11" ht="15.75">
      <c r="A27" s="107" t="s">
        <v>266</v>
      </c>
      <c r="B27" s="111">
        <v>96</v>
      </c>
      <c r="C27" s="20"/>
      <c r="K27" s="113"/>
    </row>
    <row r="28" spans="1:3" ht="13.5" thickBot="1">
      <c r="A28" s="108" t="s">
        <v>267</v>
      </c>
      <c r="B28" s="112">
        <v>40</v>
      </c>
      <c r="C28" s="20"/>
    </row>
    <row r="29" spans="1:2" ht="13.5" thickBot="1">
      <c r="A29" s="109" t="s">
        <v>11</v>
      </c>
      <c r="B29" s="110">
        <v>136</v>
      </c>
    </row>
  </sheetData>
  <sheetProtection/>
  <mergeCells count="7">
    <mergeCell ref="A25:C25"/>
    <mergeCell ref="A8:A9"/>
    <mergeCell ref="B8:P8"/>
    <mergeCell ref="A1:P1"/>
    <mergeCell ref="A2:P2"/>
    <mergeCell ref="A3:P3"/>
    <mergeCell ref="A5:P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7">
      <selection activeCell="R17" sqref="R17"/>
    </sheetView>
  </sheetViews>
  <sheetFormatPr defaultColWidth="9.140625" defaultRowHeight="12.75"/>
  <cols>
    <col min="1" max="1" width="24.421875" style="0" customWidth="1"/>
    <col min="2" max="3" width="9.00390625" style="0" customWidth="1"/>
    <col min="4" max="4" width="4.8515625" style="0" customWidth="1"/>
    <col min="5" max="5" width="29.140625" style="0" customWidth="1"/>
    <col min="6" max="6" width="22.00390625" style="0" customWidth="1"/>
    <col min="7" max="8" width="9.140625" style="0" hidden="1" customWidth="1"/>
    <col min="9" max="9" width="6.7109375" style="0" hidden="1" customWidth="1"/>
    <col min="10" max="10" width="0.13671875" style="0" customWidth="1"/>
  </cols>
  <sheetData>
    <row r="1" spans="1:9" ht="19.5" customHeight="1">
      <c r="A1" s="324" t="s">
        <v>283</v>
      </c>
      <c r="B1" s="325"/>
      <c r="C1" s="325"/>
      <c r="D1" s="325"/>
      <c r="E1" s="325"/>
      <c r="F1" s="325"/>
      <c r="G1" s="325"/>
      <c r="H1" s="325"/>
      <c r="I1" s="326"/>
    </row>
    <row r="2" spans="1:9" ht="19.5" customHeight="1" thickBot="1">
      <c r="A2" s="327"/>
      <c r="B2" s="328"/>
      <c r="C2" s="328"/>
      <c r="D2" s="328"/>
      <c r="E2" s="328"/>
      <c r="F2" s="328"/>
      <c r="G2" s="328"/>
      <c r="H2" s="328"/>
      <c r="I2" s="329"/>
    </row>
    <row r="3" ht="13.5" thickBot="1"/>
    <row r="4" spans="1:10" ht="18.75" thickBot="1">
      <c r="A4" s="330" t="s">
        <v>27</v>
      </c>
      <c r="B4" s="330" t="s">
        <v>26</v>
      </c>
      <c r="C4" s="333"/>
      <c r="D4" s="161"/>
      <c r="E4" s="188" t="s">
        <v>39</v>
      </c>
      <c r="F4" s="171"/>
      <c r="G4" s="144"/>
      <c r="H4" s="144"/>
      <c r="I4" s="144"/>
      <c r="J4" s="144"/>
    </row>
    <row r="5" spans="1:10" ht="12.75" customHeight="1">
      <c r="A5" s="331"/>
      <c r="B5" s="331"/>
      <c r="C5" s="334"/>
      <c r="D5" s="161"/>
      <c r="E5" s="336" t="s">
        <v>40</v>
      </c>
      <c r="F5" s="338" t="s">
        <v>282</v>
      </c>
      <c r="G5" s="144"/>
      <c r="H5" s="144"/>
      <c r="I5" s="144"/>
      <c r="J5" s="144"/>
    </row>
    <row r="6" spans="1:10" ht="13.5" thickBot="1">
      <c r="A6" s="332"/>
      <c r="B6" s="332"/>
      <c r="C6" s="335"/>
      <c r="D6" s="161"/>
      <c r="E6" s="337"/>
      <c r="F6" s="339"/>
      <c r="G6" s="144"/>
      <c r="H6" s="144"/>
      <c r="I6" s="144"/>
      <c r="J6" s="144"/>
    </row>
    <row r="7" spans="1:10" ht="12.75" customHeight="1">
      <c r="A7" s="320" t="s">
        <v>28</v>
      </c>
      <c r="B7" s="322" t="s">
        <v>159</v>
      </c>
      <c r="C7" s="322" t="s">
        <v>289</v>
      </c>
      <c r="D7" s="161"/>
      <c r="E7" s="162" t="s">
        <v>41</v>
      </c>
      <c r="F7" s="172">
        <v>5632</v>
      </c>
      <c r="G7" s="144"/>
      <c r="H7" s="144"/>
      <c r="I7" s="144"/>
      <c r="J7" s="144"/>
    </row>
    <row r="8" spans="1:10" ht="13.5" thickBot="1">
      <c r="A8" s="321"/>
      <c r="B8" s="323"/>
      <c r="C8" s="347"/>
      <c r="D8" s="161"/>
      <c r="E8" s="145"/>
      <c r="F8" s="173"/>
      <c r="G8" s="144"/>
      <c r="H8" s="144"/>
      <c r="I8" s="144"/>
      <c r="J8" s="144"/>
    </row>
    <row r="9" spans="1:10" ht="12.75">
      <c r="A9" s="160" t="s">
        <v>29</v>
      </c>
      <c r="B9" s="182">
        <v>8840</v>
      </c>
      <c r="C9" s="193" t="s">
        <v>173</v>
      </c>
      <c r="D9" s="147"/>
      <c r="E9" s="163" t="s">
        <v>56</v>
      </c>
      <c r="F9" s="174">
        <v>294</v>
      </c>
      <c r="G9" s="144"/>
      <c r="H9" s="144"/>
      <c r="I9" s="144"/>
      <c r="J9" s="144"/>
    </row>
    <row r="10" spans="1:10" ht="13.5" thickBot="1">
      <c r="A10" s="159" t="s">
        <v>294</v>
      </c>
      <c r="B10" s="159">
        <v>8793</v>
      </c>
      <c r="C10" s="193" t="s">
        <v>173</v>
      </c>
      <c r="D10" s="147"/>
      <c r="E10" s="164" t="s">
        <v>54</v>
      </c>
      <c r="F10" s="175">
        <v>1111</v>
      </c>
      <c r="G10" s="144"/>
      <c r="H10" s="144"/>
      <c r="I10" s="144"/>
      <c r="J10" s="144"/>
    </row>
    <row r="11" spans="1:10" ht="12.75">
      <c r="A11" s="158" t="s">
        <v>62</v>
      </c>
      <c r="B11" s="158">
        <v>1645</v>
      </c>
      <c r="C11" s="193" t="s">
        <v>173</v>
      </c>
      <c r="D11" s="147"/>
      <c r="E11" s="344" t="s">
        <v>42</v>
      </c>
      <c r="F11" s="338" t="s">
        <v>282</v>
      </c>
      <c r="G11" s="144"/>
      <c r="H11" s="144"/>
      <c r="I11" s="144"/>
      <c r="J11" s="144"/>
    </row>
    <row r="12" spans="1:10" ht="12.75">
      <c r="A12" s="159" t="s">
        <v>30</v>
      </c>
      <c r="B12" s="159">
        <v>4681</v>
      </c>
      <c r="C12" s="193" t="s">
        <v>173</v>
      </c>
      <c r="D12" s="147"/>
      <c r="E12" s="345"/>
      <c r="F12" s="339"/>
      <c r="G12" s="144"/>
      <c r="H12" s="144"/>
      <c r="I12" s="144"/>
      <c r="J12" s="144"/>
    </row>
    <row r="13" spans="1:10" ht="12.75">
      <c r="A13" s="158" t="s">
        <v>58</v>
      </c>
      <c r="B13" s="158">
        <v>4478</v>
      </c>
      <c r="C13" s="193" t="s">
        <v>173</v>
      </c>
      <c r="D13" s="147"/>
      <c r="E13" s="165"/>
      <c r="F13" s="173"/>
      <c r="G13" s="144"/>
      <c r="H13" s="144"/>
      <c r="I13" s="144"/>
      <c r="J13" s="144"/>
    </row>
    <row r="14" spans="1:10" ht="12.75">
      <c r="A14" s="159" t="s">
        <v>31</v>
      </c>
      <c r="B14" s="159">
        <v>1812</v>
      </c>
      <c r="C14" s="193" t="s">
        <v>173</v>
      </c>
      <c r="D14" s="147"/>
      <c r="E14" s="162" t="s">
        <v>41</v>
      </c>
      <c r="F14" s="172">
        <v>2706</v>
      </c>
      <c r="G14" s="144"/>
      <c r="H14" s="144"/>
      <c r="I14" s="144"/>
      <c r="J14" s="144"/>
    </row>
    <row r="15" spans="1:10" ht="13.5" thickBot="1">
      <c r="A15" s="158" t="s">
        <v>59</v>
      </c>
      <c r="B15" s="158">
        <v>2767</v>
      </c>
      <c r="C15" s="193" t="s">
        <v>284</v>
      </c>
      <c r="D15" s="147"/>
      <c r="E15" s="145"/>
      <c r="F15" s="176"/>
      <c r="G15" s="144"/>
      <c r="H15" s="144"/>
      <c r="I15" s="144"/>
      <c r="J15" s="144"/>
    </row>
    <row r="16" spans="1:12" ht="18.75" thickBot="1">
      <c r="A16" s="159" t="s">
        <v>32</v>
      </c>
      <c r="B16" s="159">
        <v>1427</v>
      </c>
      <c r="C16" s="194" t="s">
        <v>191</v>
      </c>
      <c r="D16" s="147"/>
      <c r="E16" s="188" t="s">
        <v>43</v>
      </c>
      <c r="F16" s="177"/>
      <c r="G16" s="144"/>
      <c r="H16" s="144"/>
      <c r="I16" s="144"/>
      <c r="J16" s="144"/>
      <c r="L16" s="87"/>
    </row>
    <row r="17" spans="1:10" ht="12.75" customHeight="1">
      <c r="A17" s="158" t="s">
        <v>33</v>
      </c>
      <c r="B17" s="158">
        <v>1813</v>
      </c>
      <c r="C17" s="193" t="s">
        <v>180</v>
      </c>
      <c r="D17" s="147"/>
      <c r="E17" s="336" t="s">
        <v>40</v>
      </c>
      <c r="F17" s="338" t="s">
        <v>282</v>
      </c>
      <c r="G17" s="144"/>
      <c r="H17" s="144"/>
      <c r="I17" s="144"/>
      <c r="J17" s="144"/>
    </row>
    <row r="18" spans="1:10" ht="12.75">
      <c r="A18" s="159" t="s">
        <v>34</v>
      </c>
      <c r="B18" s="159">
        <v>6887</v>
      </c>
      <c r="C18" s="194" t="s">
        <v>191</v>
      </c>
      <c r="D18" s="147"/>
      <c r="E18" s="337"/>
      <c r="F18" s="339"/>
      <c r="G18" s="144"/>
      <c r="H18" s="144"/>
      <c r="I18" s="144"/>
      <c r="J18" s="144"/>
    </row>
    <row r="19" spans="1:10" ht="12.75">
      <c r="A19" s="159" t="s">
        <v>35</v>
      </c>
      <c r="B19" s="159">
        <v>4547</v>
      </c>
      <c r="C19" s="194" t="s">
        <v>191</v>
      </c>
      <c r="D19" s="147"/>
      <c r="E19" s="166" t="s">
        <v>151</v>
      </c>
      <c r="F19" s="178">
        <v>43865</v>
      </c>
      <c r="G19" s="144"/>
      <c r="H19" s="144"/>
      <c r="I19" s="144"/>
      <c r="J19" s="144"/>
    </row>
    <row r="20" spans="1:10" ht="12.75">
      <c r="A20" s="159" t="s">
        <v>61</v>
      </c>
      <c r="B20" s="159">
        <v>1541</v>
      </c>
      <c r="C20" s="193" t="s">
        <v>284</v>
      </c>
      <c r="D20" s="147"/>
      <c r="E20" s="162" t="s">
        <v>44</v>
      </c>
      <c r="F20" s="192">
        <v>351</v>
      </c>
      <c r="G20" s="144"/>
      <c r="H20" s="144"/>
      <c r="I20" s="144"/>
      <c r="J20" s="144"/>
    </row>
    <row r="21" spans="1:10" ht="13.5" thickBot="1">
      <c r="A21" s="159" t="s">
        <v>60</v>
      </c>
      <c r="B21" s="159">
        <v>1514</v>
      </c>
      <c r="C21" s="194" t="s">
        <v>284</v>
      </c>
      <c r="D21" s="147"/>
      <c r="E21" s="167" t="s">
        <v>11</v>
      </c>
      <c r="F21" s="179">
        <f>SUM(F19:F20)</f>
        <v>44216</v>
      </c>
      <c r="G21" s="144"/>
      <c r="H21" s="144"/>
      <c r="I21" s="144"/>
      <c r="J21" s="144"/>
    </row>
    <row r="22" spans="1:10" ht="12.75">
      <c r="A22" s="159" t="s">
        <v>155</v>
      </c>
      <c r="B22" s="159">
        <v>204</v>
      </c>
      <c r="C22" s="195" t="s">
        <v>173</v>
      </c>
      <c r="D22" s="147"/>
      <c r="E22" s="344" t="s">
        <v>42</v>
      </c>
      <c r="F22" s="338" t="s">
        <v>282</v>
      </c>
      <c r="G22" s="144"/>
      <c r="H22" s="144"/>
      <c r="I22" s="144"/>
      <c r="J22" s="144"/>
    </row>
    <row r="23" spans="1:10" ht="16.5" thickBot="1">
      <c r="A23" s="203" t="s">
        <v>11</v>
      </c>
      <c r="B23" s="224">
        <v>50949</v>
      </c>
      <c r="C23" s="203"/>
      <c r="D23" s="205"/>
      <c r="E23" s="345"/>
      <c r="F23" s="339"/>
      <c r="G23" s="144"/>
      <c r="H23" s="144"/>
      <c r="I23" s="144"/>
      <c r="J23" s="144"/>
    </row>
    <row r="24" spans="1:10" ht="13.5" thickBot="1">
      <c r="A24" s="157"/>
      <c r="B24" s="146"/>
      <c r="C24" s="146"/>
      <c r="D24" s="146"/>
      <c r="E24" s="168" t="s">
        <v>46</v>
      </c>
      <c r="F24" s="180">
        <v>17771</v>
      </c>
      <c r="G24" s="144"/>
      <c r="H24" s="144"/>
      <c r="I24" s="144"/>
      <c r="J24" s="144"/>
    </row>
    <row r="25" spans="1:10" ht="12.75" customHeight="1">
      <c r="A25" s="340" t="s">
        <v>36</v>
      </c>
      <c r="B25" s="342" t="s">
        <v>159</v>
      </c>
      <c r="C25" s="196"/>
      <c r="D25" s="243"/>
      <c r="E25" s="168" t="s">
        <v>152</v>
      </c>
      <c r="F25" s="180">
        <v>14308</v>
      </c>
      <c r="G25" s="144"/>
      <c r="H25" s="144"/>
      <c r="I25" s="144"/>
      <c r="J25" s="144"/>
    </row>
    <row r="26" spans="1:10" ht="12.75">
      <c r="A26" s="341"/>
      <c r="B26" s="343"/>
      <c r="C26" s="197"/>
      <c r="D26" s="244"/>
      <c r="E26" s="168" t="s">
        <v>45</v>
      </c>
      <c r="F26" s="181">
        <v>15525</v>
      </c>
      <c r="G26" s="144"/>
      <c r="H26" s="144"/>
      <c r="I26" s="144"/>
      <c r="J26" s="144"/>
    </row>
    <row r="27" spans="1:10" ht="12.75">
      <c r="A27" s="149" t="s">
        <v>29</v>
      </c>
      <c r="B27" s="220">
        <v>8540</v>
      </c>
      <c r="C27" s="150" t="s">
        <v>173</v>
      </c>
      <c r="D27" s="147"/>
      <c r="E27" s="168" t="s">
        <v>153</v>
      </c>
      <c r="F27" s="181">
        <v>11166</v>
      </c>
      <c r="G27" s="144"/>
      <c r="H27" s="144"/>
      <c r="I27" s="144"/>
      <c r="J27" s="144"/>
    </row>
    <row r="28" spans="1:10" ht="13.5" thickBot="1">
      <c r="A28" s="151" t="s">
        <v>294</v>
      </c>
      <c r="B28" s="221">
        <v>8650</v>
      </c>
      <c r="C28" s="150" t="s">
        <v>173</v>
      </c>
      <c r="D28" s="147"/>
      <c r="E28" s="169" t="s">
        <v>44</v>
      </c>
      <c r="F28" s="182">
        <v>351</v>
      </c>
      <c r="G28" s="144"/>
      <c r="H28" s="144"/>
      <c r="I28" s="144"/>
      <c r="J28" s="144"/>
    </row>
    <row r="29" spans="1:10" ht="18.75" thickBot="1">
      <c r="A29" s="149" t="s">
        <v>62</v>
      </c>
      <c r="B29" s="220">
        <v>1500</v>
      </c>
      <c r="C29" s="150" t="s">
        <v>173</v>
      </c>
      <c r="D29" s="147"/>
      <c r="E29" s="170" t="s">
        <v>11</v>
      </c>
      <c r="F29" s="183">
        <f>SUM(F24:F28)</f>
        <v>59121</v>
      </c>
      <c r="G29" s="144"/>
      <c r="H29" s="144"/>
      <c r="I29" s="144"/>
      <c r="J29" s="144"/>
    </row>
    <row r="30" spans="1:10" ht="12.75">
      <c r="A30" s="151" t="s">
        <v>30</v>
      </c>
      <c r="B30" s="221">
        <v>4441</v>
      </c>
      <c r="C30" s="150" t="s">
        <v>173</v>
      </c>
      <c r="D30" s="147"/>
      <c r="E30" s="189" t="s">
        <v>154</v>
      </c>
      <c r="F30" s="184">
        <v>139</v>
      </c>
      <c r="G30" s="144"/>
      <c r="H30" s="144"/>
      <c r="I30" s="144"/>
      <c r="J30" s="144"/>
    </row>
    <row r="31" spans="1:10" ht="12.75">
      <c r="A31" s="149" t="s">
        <v>58</v>
      </c>
      <c r="B31" s="220">
        <v>3978</v>
      </c>
      <c r="C31" s="150" t="s">
        <v>173</v>
      </c>
      <c r="D31" s="147"/>
      <c r="E31" s="163" t="s">
        <v>56</v>
      </c>
      <c r="F31" s="185">
        <v>247</v>
      </c>
      <c r="G31" s="144"/>
      <c r="H31" s="144"/>
      <c r="I31" s="144"/>
      <c r="J31" s="144"/>
    </row>
    <row r="32" spans="1:10" ht="12.75">
      <c r="A32" s="151" t="s">
        <v>31</v>
      </c>
      <c r="B32" s="221">
        <v>1507</v>
      </c>
      <c r="C32" s="150" t="s">
        <v>173</v>
      </c>
      <c r="D32" s="147"/>
      <c r="E32" s="190" t="s">
        <v>54</v>
      </c>
      <c r="F32" s="186">
        <v>809</v>
      </c>
      <c r="G32" s="144"/>
      <c r="H32" s="144"/>
      <c r="I32" s="144"/>
      <c r="J32" s="144"/>
    </row>
    <row r="33" spans="1:10" ht="13.5" thickBot="1">
      <c r="A33" s="149" t="s">
        <v>59</v>
      </c>
      <c r="B33" s="220">
        <v>1670</v>
      </c>
      <c r="C33" s="150" t="s">
        <v>284</v>
      </c>
      <c r="D33" s="147"/>
      <c r="E33" s="191" t="s">
        <v>271</v>
      </c>
      <c r="F33" s="187">
        <v>50</v>
      </c>
      <c r="G33" s="146"/>
      <c r="H33" s="146"/>
      <c r="I33" s="146"/>
      <c r="J33" s="144"/>
    </row>
    <row r="34" spans="1:10" ht="12.75">
      <c r="A34" s="151" t="s">
        <v>32</v>
      </c>
      <c r="B34" s="221">
        <v>1197</v>
      </c>
      <c r="C34" s="152" t="s">
        <v>191</v>
      </c>
      <c r="D34" s="156"/>
      <c r="E34" s="348" t="s">
        <v>288</v>
      </c>
      <c r="F34" s="348"/>
      <c r="G34" s="348"/>
      <c r="H34" s="348"/>
      <c r="I34" s="348"/>
      <c r="J34" s="144"/>
    </row>
    <row r="35" spans="1:10" ht="13.5" thickBot="1">
      <c r="A35" s="149" t="s">
        <v>33</v>
      </c>
      <c r="B35" s="220">
        <v>1057</v>
      </c>
      <c r="C35" s="150" t="s">
        <v>180</v>
      </c>
      <c r="D35" s="156"/>
      <c r="E35" s="16"/>
      <c r="F35" s="16"/>
      <c r="G35" s="16"/>
      <c r="H35" s="16"/>
      <c r="I35" s="16"/>
      <c r="J35" s="144"/>
    </row>
    <row r="36" spans="1:10" ht="12.75">
      <c r="A36" s="151" t="s">
        <v>34</v>
      </c>
      <c r="B36" s="221">
        <v>5737</v>
      </c>
      <c r="C36" s="152" t="s">
        <v>191</v>
      </c>
      <c r="D36" s="156"/>
      <c r="E36" s="349" t="s">
        <v>285</v>
      </c>
      <c r="F36" s="349"/>
      <c r="G36" s="349"/>
      <c r="H36" s="349"/>
      <c r="I36" s="349"/>
      <c r="J36" s="148"/>
    </row>
    <row r="37" spans="1:10" ht="12.75">
      <c r="A37" s="149" t="s">
        <v>35</v>
      </c>
      <c r="B37" s="220">
        <v>3857</v>
      </c>
      <c r="C37" s="152" t="s">
        <v>191</v>
      </c>
      <c r="D37" s="156"/>
      <c r="E37" s="350" t="s">
        <v>286</v>
      </c>
      <c r="F37" s="346"/>
      <c r="G37" s="346"/>
      <c r="H37" s="346"/>
      <c r="I37" s="346"/>
      <c r="J37" s="351"/>
    </row>
    <row r="38" spans="1:10" ht="13.5" thickBot="1">
      <c r="A38" s="149" t="s">
        <v>61</v>
      </c>
      <c r="B38" s="220">
        <v>1331</v>
      </c>
      <c r="C38" s="150" t="s">
        <v>284</v>
      </c>
      <c r="D38" s="156"/>
      <c r="E38" s="352" t="s">
        <v>287</v>
      </c>
      <c r="F38" s="352"/>
      <c r="G38" s="352"/>
      <c r="H38" s="352"/>
      <c r="I38" s="352"/>
      <c r="J38" s="353"/>
    </row>
    <row r="39" spans="1:10" ht="13.5" thickBot="1">
      <c r="A39" s="151" t="s">
        <v>60</v>
      </c>
      <c r="B39" s="221">
        <v>1415</v>
      </c>
      <c r="C39" s="152" t="s">
        <v>284</v>
      </c>
      <c r="D39" s="156"/>
      <c r="E39" s="346"/>
      <c r="F39" s="346"/>
      <c r="G39" s="346"/>
      <c r="H39" s="346"/>
      <c r="I39" s="346"/>
      <c r="J39" s="346"/>
    </row>
    <row r="40" spans="1:11" ht="13.5" thickBot="1">
      <c r="A40" s="153" t="s">
        <v>155</v>
      </c>
      <c r="B40" s="222">
        <v>100</v>
      </c>
      <c r="C40" s="154" t="s">
        <v>173</v>
      </c>
      <c r="D40" s="156"/>
      <c r="E40" s="242" t="s">
        <v>300</v>
      </c>
      <c r="F40" s="16"/>
      <c r="G40" s="16"/>
      <c r="H40" s="16"/>
      <c r="I40" s="16"/>
      <c r="J40" s="16"/>
      <c r="K40" s="20"/>
    </row>
    <row r="41" spans="1:10" ht="16.5" thickBot="1">
      <c r="A41" s="199" t="s">
        <v>11</v>
      </c>
      <c r="B41" s="223">
        <v>44980</v>
      </c>
      <c r="C41" s="198"/>
      <c r="D41" s="245"/>
      <c r="E41" s="144"/>
      <c r="F41" s="144"/>
      <c r="G41" s="144"/>
      <c r="H41" s="144"/>
      <c r="I41" s="144"/>
      <c r="J41" s="144"/>
    </row>
    <row r="42" spans="1:10" ht="13.5" thickBot="1">
      <c r="A42" s="14"/>
      <c r="B42" s="14"/>
      <c r="C42" s="14"/>
      <c r="D42" s="14"/>
      <c r="E42" s="144"/>
      <c r="F42" s="144"/>
      <c r="G42" s="144"/>
      <c r="H42" s="144"/>
      <c r="I42" s="144"/>
      <c r="J42" s="144"/>
    </row>
    <row r="43" spans="1:4" s="15" customFormat="1" ht="15.75">
      <c r="A43" s="206" t="s">
        <v>290</v>
      </c>
      <c r="B43" s="207" t="s">
        <v>156</v>
      </c>
      <c r="C43" s="216">
        <v>1384</v>
      </c>
      <c r="D43" s="204"/>
    </row>
    <row r="44" spans="1:4" s="15" customFormat="1" ht="15.75">
      <c r="A44" s="208" t="s">
        <v>291</v>
      </c>
      <c r="B44" s="201" t="s">
        <v>157</v>
      </c>
      <c r="C44" s="217">
        <v>323</v>
      </c>
      <c r="D44" s="204"/>
    </row>
    <row r="45" spans="1:4" s="15" customFormat="1" ht="15.75">
      <c r="A45" s="208" t="s">
        <v>292</v>
      </c>
      <c r="B45" s="201" t="s">
        <v>158</v>
      </c>
      <c r="C45" s="217">
        <v>26</v>
      </c>
      <c r="D45" s="204"/>
    </row>
    <row r="46" spans="1:4" s="15" customFormat="1" ht="15.75">
      <c r="A46" s="210" t="s">
        <v>131</v>
      </c>
      <c r="B46" s="200"/>
      <c r="C46" s="209">
        <v>1733</v>
      </c>
      <c r="D46" s="204"/>
    </row>
    <row r="47" spans="1:4" s="15" customFormat="1" ht="15.75">
      <c r="A47" s="211" t="s">
        <v>37</v>
      </c>
      <c r="B47" s="202"/>
      <c r="C47" s="212">
        <v>159</v>
      </c>
      <c r="D47" s="205"/>
    </row>
    <row r="48" spans="1:4" s="15" customFormat="1" ht="15.75">
      <c r="A48" s="210" t="s">
        <v>38</v>
      </c>
      <c r="B48" s="200"/>
      <c r="C48" s="209">
        <v>1892</v>
      </c>
      <c r="D48" s="204"/>
    </row>
    <row r="49" spans="1:5" s="15" customFormat="1" ht="16.5" thickBot="1">
      <c r="A49" s="218" t="s">
        <v>70</v>
      </c>
      <c r="B49" s="219"/>
      <c r="C49" s="213">
        <v>1307</v>
      </c>
      <c r="D49" s="204"/>
      <c r="E49" s="155"/>
    </row>
    <row r="50" spans="1:10" ht="12.75">
      <c r="A50" s="18"/>
      <c r="B50" s="144"/>
      <c r="C50" s="144"/>
      <c r="D50" s="144"/>
      <c r="E50" s="144"/>
      <c r="F50" s="144"/>
      <c r="G50" s="144"/>
      <c r="H50" s="144"/>
      <c r="I50" s="144"/>
      <c r="J50" s="144"/>
    </row>
  </sheetData>
  <sheetProtection/>
  <mergeCells count="21">
    <mergeCell ref="E39:J39"/>
    <mergeCell ref="C7:C8"/>
    <mergeCell ref="E34:I34"/>
    <mergeCell ref="E36:I36"/>
    <mergeCell ref="E37:J37"/>
    <mergeCell ref="E38:J38"/>
    <mergeCell ref="E22:E23"/>
    <mergeCell ref="F17:F18"/>
    <mergeCell ref="A25:A26"/>
    <mergeCell ref="B25:B26"/>
    <mergeCell ref="E11:E12"/>
    <mergeCell ref="E17:E18"/>
    <mergeCell ref="F11:F12"/>
    <mergeCell ref="F22:F23"/>
    <mergeCell ref="A7:A8"/>
    <mergeCell ref="B7:B8"/>
    <mergeCell ref="A1:I2"/>
    <mergeCell ref="A4:A6"/>
    <mergeCell ref="B4:C6"/>
    <mergeCell ref="E5:E6"/>
    <mergeCell ref="F5:F6"/>
  </mergeCells>
  <printOptions horizontalCentered="1" verticalCentered="1"/>
  <pageMargins left="0.5905511811023623" right="0.3937007874015748" top="0.984251968503937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5" zoomScaleNormal="75" zoomScalePageLayoutView="0" workbookViewId="0" topLeftCell="A1">
      <selection activeCell="G31" sqref="G31"/>
    </sheetView>
  </sheetViews>
  <sheetFormatPr defaultColWidth="9.140625" defaultRowHeight="12.75"/>
  <cols>
    <col min="1" max="1" width="42.28125" style="0" customWidth="1"/>
    <col min="2" max="2" width="25.57421875" style="0" customWidth="1"/>
    <col min="3" max="3" width="29.421875" style="0" customWidth="1"/>
  </cols>
  <sheetData>
    <row r="1" spans="1:3" ht="12.75">
      <c r="A1" s="354" t="s">
        <v>160</v>
      </c>
      <c r="B1" s="355"/>
      <c r="C1" s="356"/>
    </row>
    <row r="2" spans="1:3" ht="12.75">
      <c r="A2" s="357"/>
      <c r="B2" s="358"/>
      <c r="C2" s="359"/>
    </row>
    <row r="3" spans="1:3" ht="12.75">
      <c r="A3" s="357"/>
      <c r="B3" s="358"/>
      <c r="C3" s="359"/>
    </row>
    <row r="4" spans="1:3" ht="12.75">
      <c r="A4" s="357"/>
      <c r="B4" s="358"/>
      <c r="C4" s="359"/>
    </row>
    <row r="5" spans="1:3" ht="12.75">
      <c r="A5" s="357"/>
      <c r="B5" s="358"/>
      <c r="C5" s="359"/>
    </row>
    <row r="6" spans="1:3" ht="13.5" thickBot="1">
      <c r="A6" s="360"/>
      <c r="B6" s="361"/>
      <c r="C6" s="362"/>
    </row>
    <row r="7" spans="1:3" ht="27" thickBot="1">
      <c r="A7" s="378"/>
      <c r="B7" s="378"/>
      <c r="C7" s="378"/>
    </row>
    <row r="8" spans="1:3" ht="18" customHeight="1">
      <c r="A8" s="363" t="s">
        <v>68</v>
      </c>
      <c r="B8" s="389" t="s">
        <v>282</v>
      </c>
      <c r="C8" s="390"/>
    </row>
    <row r="9" spans="1:3" ht="12.75" customHeight="1">
      <c r="A9" s="364"/>
      <c r="B9" s="391"/>
      <c r="C9" s="392"/>
    </row>
    <row r="10" spans="1:3" ht="13.5" customHeight="1" thickBot="1">
      <c r="A10" s="365"/>
      <c r="B10" s="393"/>
      <c r="C10" s="394"/>
    </row>
    <row r="11" spans="1:3" ht="23.25">
      <c r="A11" s="226" t="s">
        <v>47</v>
      </c>
      <c r="B11" s="379">
        <v>614</v>
      </c>
      <c r="C11" s="380"/>
    </row>
    <row r="12" spans="1:3" ht="23.25">
      <c r="A12" s="227" t="s">
        <v>48</v>
      </c>
      <c r="B12" s="383">
        <v>223</v>
      </c>
      <c r="C12" s="384"/>
    </row>
    <row r="13" spans="1:3" ht="23.25">
      <c r="A13" s="227" t="s">
        <v>49</v>
      </c>
      <c r="B13" s="385">
        <v>176</v>
      </c>
      <c r="C13" s="386"/>
    </row>
    <row r="14" spans="1:3" ht="23.25">
      <c r="A14" s="227" t="s">
        <v>71</v>
      </c>
      <c r="B14" s="387">
        <v>2492</v>
      </c>
      <c r="C14" s="386"/>
    </row>
    <row r="15" spans="1:5" ht="23.25">
      <c r="A15" s="227" t="s">
        <v>50</v>
      </c>
      <c r="B15" s="383">
        <v>662</v>
      </c>
      <c r="C15" s="384"/>
      <c r="E15" s="22"/>
    </row>
    <row r="16" spans="1:3" ht="23.25">
      <c r="A16" s="227" t="s">
        <v>51</v>
      </c>
      <c r="B16" s="383">
        <v>629</v>
      </c>
      <c r="C16" s="384"/>
    </row>
    <row r="17" spans="1:3" ht="23.25">
      <c r="A17" s="227" t="s">
        <v>52</v>
      </c>
      <c r="B17" s="388">
        <v>3085</v>
      </c>
      <c r="C17" s="384"/>
    </row>
    <row r="18" spans="1:5" ht="27">
      <c r="A18" s="227" t="s">
        <v>53</v>
      </c>
      <c r="B18" s="388">
        <v>2544</v>
      </c>
      <c r="C18" s="384"/>
      <c r="E18" s="17"/>
    </row>
    <row r="19" spans="1:3" ht="24" thickBot="1">
      <c r="A19" s="228" t="s">
        <v>11</v>
      </c>
      <c r="B19" s="381">
        <v>10425</v>
      </c>
      <c r="C19" s="382"/>
    </row>
    <row r="20" spans="1:3" ht="26.25" thickBot="1">
      <c r="A20" s="21"/>
      <c r="B20" s="4"/>
      <c r="C20" s="5"/>
    </row>
    <row r="21" spans="1:3" ht="25.5" customHeight="1">
      <c r="A21" s="369" t="s">
        <v>19</v>
      </c>
      <c r="B21" s="370"/>
      <c r="C21" s="371"/>
    </row>
    <row r="22" spans="1:3" ht="12.75">
      <c r="A22" s="372"/>
      <c r="B22" s="373"/>
      <c r="C22" s="374"/>
    </row>
    <row r="23" spans="1:3" ht="13.5" thickBot="1">
      <c r="A23" s="375"/>
      <c r="B23" s="376"/>
      <c r="C23" s="377"/>
    </row>
    <row r="24" spans="1:3" ht="26.25" thickBot="1">
      <c r="A24" s="3"/>
      <c r="B24" s="4"/>
      <c r="C24" s="6"/>
    </row>
    <row r="25" spans="1:3" ht="26.25" thickBot="1">
      <c r="A25" s="366" t="s">
        <v>69</v>
      </c>
      <c r="B25" s="367"/>
      <c r="C25" s="368"/>
    </row>
    <row r="26" spans="1:3" ht="25.5" customHeight="1">
      <c r="A26" s="234" t="s">
        <v>56</v>
      </c>
      <c r="B26" s="235"/>
      <c r="C26" s="231">
        <v>244</v>
      </c>
    </row>
    <row r="27" spans="1:3" ht="25.5" customHeight="1">
      <c r="A27" s="236" t="s">
        <v>54</v>
      </c>
      <c r="B27" s="237"/>
      <c r="C27" s="232">
        <v>839</v>
      </c>
    </row>
    <row r="28" spans="1:3" ht="25.5" customHeight="1">
      <c r="A28" s="238" t="s">
        <v>55</v>
      </c>
      <c r="B28" s="239"/>
      <c r="C28" s="232">
        <v>5</v>
      </c>
    </row>
    <row r="29" spans="1:3" ht="13.5" thickBot="1">
      <c r="A29" s="229"/>
      <c r="B29" s="229"/>
      <c r="C29" s="229"/>
    </row>
    <row r="30" spans="1:3" ht="23.25">
      <c r="A30" s="9" t="s">
        <v>296</v>
      </c>
      <c r="B30" s="10"/>
      <c r="C30" s="240">
        <v>3384</v>
      </c>
    </row>
    <row r="31" spans="1:3" ht="23.25">
      <c r="A31" s="11" t="s">
        <v>295</v>
      </c>
      <c r="B31" s="8"/>
      <c r="C31" s="225" t="s">
        <v>297</v>
      </c>
    </row>
    <row r="32" spans="1:3" ht="24" thickBot="1">
      <c r="A32" s="12" t="s">
        <v>72</v>
      </c>
      <c r="B32" s="13"/>
      <c r="C32" s="233">
        <v>382</v>
      </c>
    </row>
    <row r="33" spans="1:3" ht="12.75">
      <c r="A33" s="230"/>
      <c r="B33" s="230"/>
      <c r="C33" s="230"/>
    </row>
    <row r="34" ht="15.75">
      <c r="A34" s="246" t="s">
        <v>301</v>
      </c>
    </row>
  </sheetData>
  <sheetProtection/>
  <mergeCells count="15">
    <mergeCell ref="B18:C18"/>
    <mergeCell ref="B15:C15"/>
    <mergeCell ref="B8:C10"/>
    <mergeCell ref="B16:C16"/>
    <mergeCell ref="B17:C17"/>
    <mergeCell ref="A1:C6"/>
    <mergeCell ref="A8:A10"/>
    <mergeCell ref="A25:C25"/>
    <mergeCell ref="A21:C23"/>
    <mergeCell ref="A7:C7"/>
    <mergeCell ref="B11:C11"/>
    <mergeCell ref="B19:C19"/>
    <mergeCell ref="B12:C12"/>
    <mergeCell ref="B13:C13"/>
    <mergeCell ref="B14:C14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75" zoomScaleNormal="75" zoomScalePageLayoutView="0" workbookViewId="0" topLeftCell="A1">
      <selection activeCell="K37" sqref="K37"/>
    </sheetView>
  </sheetViews>
  <sheetFormatPr defaultColWidth="9.140625" defaultRowHeight="12.75"/>
  <cols>
    <col min="1" max="1" width="30.8515625" style="0" customWidth="1"/>
    <col min="2" max="2" width="20.8515625" style="0" customWidth="1"/>
    <col min="3" max="3" width="31.7109375" style="0" customWidth="1"/>
    <col min="4" max="4" width="30.00390625" style="0" customWidth="1"/>
  </cols>
  <sheetData>
    <row r="1" ht="13.5" thickBot="1"/>
    <row r="2" spans="1:4" ht="12.75">
      <c r="A2" s="324" t="s">
        <v>281</v>
      </c>
      <c r="B2" s="325"/>
      <c r="C2" s="325"/>
      <c r="D2" s="326"/>
    </row>
    <row r="3" spans="1:4" ht="12.75">
      <c r="A3" s="401"/>
      <c r="B3" s="402"/>
      <c r="C3" s="402"/>
      <c r="D3" s="403"/>
    </row>
    <row r="4" spans="1:4" ht="13.5" customHeight="1" thickBot="1">
      <c r="A4" s="327"/>
      <c r="B4" s="328"/>
      <c r="C4" s="328"/>
      <c r="D4" s="329"/>
    </row>
    <row r="5" spans="1:4" ht="16.5" thickBot="1">
      <c r="A5" s="133" t="s">
        <v>73</v>
      </c>
      <c r="B5" s="131" t="s">
        <v>279</v>
      </c>
      <c r="C5" s="132" t="s">
        <v>73</v>
      </c>
      <c r="D5" s="131" t="s">
        <v>279</v>
      </c>
    </row>
    <row r="6" spans="1:4" ht="17.25" customHeight="1">
      <c r="A6" s="128" t="s">
        <v>272</v>
      </c>
      <c r="B6" s="125">
        <v>8</v>
      </c>
      <c r="C6" s="124" t="s">
        <v>105</v>
      </c>
      <c r="D6" s="125">
        <v>0</v>
      </c>
    </row>
    <row r="7" spans="1:4" ht="17.25" customHeight="1">
      <c r="A7" s="128" t="s">
        <v>74</v>
      </c>
      <c r="B7" s="125">
        <v>0</v>
      </c>
      <c r="C7" s="124" t="s">
        <v>273</v>
      </c>
      <c r="D7" s="125">
        <v>28</v>
      </c>
    </row>
    <row r="8" spans="1:4" ht="17.25" customHeight="1">
      <c r="A8" s="124" t="s">
        <v>63</v>
      </c>
      <c r="B8" s="125">
        <v>0</v>
      </c>
      <c r="C8" s="124" t="s">
        <v>274</v>
      </c>
      <c r="D8" s="125">
        <v>7</v>
      </c>
    </row>
    <row r="9" spans="1:4" ht="17.25" customHeight="1">
      <c r="A9" s="128" t="s">
        <v>64</v>
      </c>
      <c r="B9" s="125">
        <v>5</v>
      </c>
      <c r="C9" s="124" t="s">
        <v>106</v>
      </c>
      <c r="D9" s="125">
        <v>0</v>
      </c>
    </row>
    <row r="10" spans="1:4" ht="17.25" customHeight="1">
      <c r="A10" s="128" t="s">
        <v>75</v>
      </c>
      <c r="B10" s="125">
        <v>0</v>
      </c>
      <c r="C10" s="124" t="s">
        <v>275</v>
      </c>
      <c r="D10" s="125">
        <v>3</v>
      </c>
    </row>
    <row r="11" spans="1:4" ht="17.25" customHeight="1">
      <c r="A11" s="128" t="s">
        <v>76</v>
      </c>
      <c r="B11" s="125">
        <v>0</v>
      </c>
      <c r="C11" s="124" t="s">
        <v>67</v>
      </c>
      <c r="D11" s="125">
        <v>8</v>
      </c>
    </row>
    <row r="12" spans="1:4" ht="17.25" customHeight="1">
      <c r="A12" s="128" t="s">
        <v>132</v>
      </c>
      <c r="B12" s="125">
        <v>0</v>
      </c>
      <c r="C12" s="124" t="s">
        <v>107</v>
      </c>
      <c r="D12" s="125">
        <v>13</v>
      </c>
    </row>
    <row r="13" spans="1:4" ht="17.25" customHeight="1">
      <c r="A13" s="124" t="s">
        <v>77</v>
      </c>
      <c r="B13" s="125">
        <v>0</v>
      </c>
      <c r="C13" s="124" t="s">
        <v>108</v>
      </c>
      <c r="D13" s="125">
        <v>0</v>
      </c>
    </row>
    <row r="14" spans="1:4" ht="17.25" customHeight="1">
      <c r="A14" s="124" t="s">
        <v>78</v>
      </c>
      <c r="B14" s="125">
        <v>1</v>
      </c>
      <c r="C14" s="124" t="s">
        <v>109</v>
      </c>
      <c r="D14" s="125">
        <v>0</v>
      </c>
    </row>
    <row r="15" spans="1:4" ht="17.25" customHeight="1">
      <c r="A15" s="128" t="s">
        <v>65</v>
      </c>
      <c r="B15" s="125">
        <v>5</v>
      </c>
      <c r="C15" s="124" t="s">
        <v>110</v>
      </c>
      <c r="D15" s="125">
        <v>0</v>
      </c>
    </row>
    <row r="16" spans="1:4" ht="17.25" customHeight="1">
      <c r="A16" s="124" t="s">
        <v>79</v>
      </c>
      <c r="B16" s="125">
        <v>63</v>
      </c>
      <c r="C16" s="124" t="s">
        <v>111</v>
      </c>
      <c r="D16" s="125">
        <v>0</v>
      </c>
    </row>
    <row r="17" spans="1:4" ht="17.25" customHeight="1">
      <c r="A17" s="124" t="s">
        <v>80</v>
      </c>
      <c r="B17" s="125">
        <v>12</v>
      </c>
      <c r="C17" s="124" t="s">
        <v>112</v>
      </c>
      <c r="D17" s="125">
        <v>1</v>
      </c>
    </row>
    <row r="18" spans="1:4" ht="17.25" customHeight="1">
      <c r="A18" s="124" t="s">
        <v>81</v>
      </c>
      <c r="B18" s="125">
        <v>5</v>
      </c>
      <c r="C18" s="124" t="s">
        <v>113</v>
      </c>
      <c r="D18" s="125">
        <v>1</v>
      </c>
    </row>
    <row r="19" spans="1:4" ht="17.25" customHeight="1">
      <c r="A19" s="124" t="s">
        <v>82</v>
      </c>
      <c r="B19" s="125">
        <v>3</v>
      </c>
      <c r="C19" s="124" t="s">
        <v>114</v>
      </c>
      <c r="D19" s="125">
        <v>0</v>
      </c>
    </row>
    <row r="20" spans="1:4" ht="17.25" customHeight="1">
      <c r="A20" s="124" t="s">
        <v>83</v>
      </c>
      <c r="B20" s="125">
        <v>5</v>
      </c>
      <c r="C20" s="124" t="s">
        <v>276</v>
      </c>
      <c r="D20" s="125">
        <v>11</v>
      </c>
    </row>
    <row r="21" spans="1:4" ht="17.25" customHeight="1">
      <c r="A21" s="124" t="s">
        <v>84</v>
      </c>
      <c r="B21" s="125">
        <v>23</v>
      </c>
      <c r="C21" s="124" t="s">
        <v>115</v>
      </c>
      <c r="D21" s="125">
        <v>13</v>
      </c>
    </row>
    <row r="22" spans="1:4" ht="17.25" customHeight="1">
      <c r="A22" s="124" t="s">
        <v>85</v>
      </c>
      <c r="B22" s="125">
        <v>3</v>
      </c>
      <c r="C22" s="124" t="s">
        <v>116</v>
      </c>
      <c r="D22" s="125">
        <v>0</v>
      </c>
    </row>
    <row r="23" spans="1:4" ht="17.25" customHeight="1">
      <c r="A23" s="124" t="s">
        <v>86</v>
      </c>
      <c r="B23" s="125">
        <v>23</v>
      </c>
      <c r="C23" s="124" t="s">
        <v>117</v>
      </c>
      <c r="D23" s="125">
        <v>0</v>
      </c>
    </row>
    <row r="24" spans="1:4" ht="17.25" customHeight="1">
      <c r="A24" s="124" t="s">
        <v>87</v>
      </c>
      <c r="B24" s="125">
        <v>4</v>
      </c>
      <c r="C24" s="124" t="s">
        <v>118</v>
      </c>
      <c r="D24" s="125">
        <v>0</v>
      </c>
    </row>
    <row r="25" spans="1:4" ht="17.25" customHeight="1">
      <c r="A25" s="124" t="s">
        <v>88</v>
      </c>
      <c r="B25" s="125">
        <v>0</v>
      </c>
      <c r="C25" s="124" t="s">
        <v>119</v>
      </c>
      <c r="D25" s="125">
        <v>1</v>
      </c>
    </row>
    <row r="26" spans="1:4" ht="17.25" customHeight="1">
      <c r="A26" s="124" t="s">
        <v>89</v>
      </c>
      <c r="B26" s="125">
        <v>0</v>
      </c>
      <c r="C26" s="124" t="s">
        <v>120</v>
      </c>
      <c r="D26" s="125">
        <v>1</v>
      </c>
    </row>
    <row r="27" spans="1:4" ht="17.25" customHeight="1">
      <c r="A27" s="124" t="s">
        <v>147</v>
      </c>
      <c r="B27" s="125">
        <v>0</v>
      </c>
      <c r="C27" s="124" t="s">
        <v>121</v>
      </c>
      <c r="D27" s="125">
        <v>0</v>
      </c>
    </row>
    <row r="28" spans="1:4" ht="17.25" customHeight="1">
      <c r="A28" s="124" t="s">
        <v>148</v>
      </c>
      <c r="B28" s="125">
        <v>24</v>
      </c>
      <c r="C28" s="124" t="s">
        <v>122</v>
      </c>
      <c r="D28" s="125">
        <v>11</v>
      </c>
    </row>
    <row r="29" spans="1:8" ht="17.25" customHeight="1">
      <c r="A29" s="124" t="s">
        <v>150</v>
      </c>
      <c r="B29" s="125">
        <v>17</v>
      </c>
      <c r="C29" s="124" t="s">
        <v>123</v>
      </c>
      <c r="D29" s="125">
        <v>0</v>
      </c>
      <c r="H29" t="s">
        <v>149</v>
      </c>
    </row>
    <row r="30" spans="1:4" ht="17.25" customHeight="1">
      <c r="A30" s="124" t="s">
        <v>90</v>
      </c>
      <c r="B30" s="125">
        <v>32</v>
      </c>
      <c r="C30" s="124" t="s">
        <v>277</v>
      </c>
      <c r="D30" s="125">
        <v>10</v>
      </c>
    </row>
    <row r="31" spans="1:4" ht="17.25" customHeight="1">
      <c r="A31" s="124" t="s">
        <v>91</v>
      </c>
      <c r="B31" s="125">
        <v>6</v>
      </c>
      <c r="C31" s="124" t="s">
        <v>278</v>
      </c>
      <c r="D31" s="125">
        <v>25</v>
      </c>
    </row>
    <row r="32" spans="1:4" ht="17.25" customHeight="1">
      <c r="A32" s="124" t="s">
        <v>92</v>
      </c>
      <c r="B32" s="125">
        <v>0</v>
      </c>
      <c r="C32" s="124" t="s">
        <v>124</v>
      </c>
      <c r="D32" s="125">
        <v>4</v>
      </c>
    </row>
    <row r="33" spans="1:4" ht="17.25" customHeight="1">
      <c r="A33" s="124" t="s">
        <v>93</v>
      </c>
      <c r="B33" s="125">
        <v>7</v>
      </c>
      <c r="C33" s="124" t="s">
        <v>125</v>
      </c>
      <c r="D33" s="125">
        <v>0</v>
      </c>
    </row>
    <row r="34" spans="1:4" ht="17.25" customHeight="1">
      <c r="A34" s="124" t="s">
        <v>94</v>
      </c>
      <c r="B34" s="125">
        <v>34</v>
      </c>
      <c r="C34" s="124" t="s">
        <v>133</v>
      </c>
      <c r="D34" s="125">
        <v>0</v>
      </c>
    </row>
    <row r="35" spans="1:4" ht="17.25" customHeight="1">
      <c r="A35" s="124" t="s">
        <v>95</v>
      </c>
      <c r="B35" s="125">
        <v>36</v>
      </c>
      <c r="C35" s="124" t="s">
        <v>126</v>
      </c>
      <c r="D35" s="125">
        <v>0</v>
      </c>
    </row>
    <row r="36" spans="1:4" ht="17.25" customHeight="1">
      <c r="A36" s="124" t="s">
        <v>96</v>
      </c>
      <c r="B36" s="125">
        <v>12</v>
      </c>
      <c r="C36" s="124" t="s">
        <v>127</v>
      </c>
      <c r="D36" s="125">
        <v>4</v>
      </c>
    </row>
    <row r="37" spans="1:4" ht="17.25" customHeight="1">
      <c r="A37" s="124" t="s">
        <v>97</v>
      </c>
      <c r="B37" s="125">
        <v>8</v>
      </c>
      <c r="C37" s="124" t="s">
        <v>128</v>
      </c>
      <c r="D37" s="125">
        <v>0</v>
      </c>
    </row>
    <row r="38" spans="1:4" ht="17.25" customHeight="1">
      <c r="A38" s="124" t="s">
        <v>98</v>
      </c>
      <c r="B38" s="125">
        <v>0</v>
      </c>
      <c r="C38" s="124" t="s">
        <v>129</v>
      </c>
      <c r="D38" s="125">
        <v>1</v>
      </c>
    </row>
    <row r="39" spans="1:4" ht="17.25" customHeight="1" thickBot="1">
      <c r="A39" s="124" t="s">
        <v>99</v>
      </c>
      <c r="B39" s="125">
        <v>12</v>
      </c>
      <c r="C39" s="126" t="s">
        <v>130</v>
      </c>
      <c r="D39" s="127">
        <v>0</v>
      </c>
    </row>
    <row r="40" spans="1:4" ht="17.25" customHeight="1">
      <c r="A40" s="129" t="s">
        <v>100</v>
      </c>
      <c r="B40" s="130">
        <v>0</v>
      </c>
      <c r="C40" s="395" t="s">
        <v>280</v>
      </c>
      <c r="D40" s="398" t="s">
        <v>293</v>
      </c>
    </row>
    <row r="41" spans="1:4" ht="17.25" customHeight="1">
      <c r="A41" s="129" t="s">
        <v>101</v>
      </c>
      <c r="B41" s="130">
        <v>0</v>
      </c>
      <c r="C41" s="396"/>
      <c r="D41" s="399"/>
    </row>
    <row r="42" spans="1:4" ht="17.25" customHeight="1">
      <c r="A42" s="129" t="s">
        <v>66</v>
      </c>
      <c r="B42" s="130">
        <v>4</v>
      </c>
      <c r="C42" s="396"/>
      <c r="D42" s="399"/>
    </row>
    <row r="43" spans="1:4" ht="17.25" customHeight="1">
      <c r="A43" s="129" t="s">
        <v>102</v>
      </c>
      <c r="B43" s="130">
        <v>0</v>
      </c>
      <c r="C43" s="396"/>
      <c r="D43" s="399"/>
    </row>
    <row r="44" spans="1:4" ht="17.25" customHeight="1">
      <c r="A44" s="129" t="s">
        <v>103</v>
      </c>
      <c r="B44" s="130">
        <v>0</v>
      </c>
      <c r="C44" s="396"/>
      <c r="D44" s="399"/>
    </row>
    <row r="45" spans="1:4" ht="17.25" customHeight="1" thickBot="1">
      <c r="A45" s="247" t="s">
        <v>104</v>
      </c>
      <c r="B45" s="130">
        <v>4</v>
      </c>
      <c r="C45" s="397"/>
      <c r="D45" s="400"/>
    </row>
    <row r="46" ht="17.25" customHeight="1" thickBot="1">
      <c r="A46" s="248" t="s">
        <v>302</v>
      </c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3">
    <mergeCell ref="C40:C45"/>
    <mergeCell ref="D40:D45"/>
    <mergeCell ref="A2:D4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4">
      <selection activeCell="T12" sqref="T12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5" width="10.140625" style="0" customWidth="1"/>
    <col min="16" max="17" width="9.140625" style="0" hidden="1" customWidth="1"/>
  </cols>
  <sheetData>
    <row r="1" spans="1:15" ht="12.75">
      <c r="A1" s="406" t="s">
        <v>164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</row>
    <row r="4" spans="1:18" ht="21" thickBot="1">
      <c r="A4" s="412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P4" s="55"/>
      <c r="Q4" s="55"/>
      <c r="R4" s="404" t="s">
        <v>167</v>
      </c>
    </row>
    <row r="5" spans="1:18" ht="13.5" thickBot="1">
      <c r="A5" s="413"/>
      <c r="B5" s="27" t="s">
        <v>168</v>
      </c>
      <c r="C5" s="28" t="s">
        <v>135</v>
      </c>
      <c r="D5" s="29" t="s">
        <v>136</v>
      </c>
      <c r="E5" s="29" t="s">
        <v>169</v>
      </c>
      <c r="F5" s="29" t="s">
        <v>138</v>
      </c>
      <c r="G5" s="29" t="s">
        <v>139</v>
      </c>
      <c r="H5" s="29" t="s">
        <v>140</v>
      </c>
      <c r="I5" s="29" t="s">
        <v>170</v>
      </c>
      <c r="J5" s="29" t="s">
        <v>142</v>
      </c>
      <c r="K5" s="29" t="s">
        <v>143</v>
      </c>
      <c r="L5" s="29" t="s">
        <v>171</v>
      </c>
      <c r="M5" s="29" t="s">
        <v>145</v>
      </c>
      <c r="N5" s="30" t="s">
        <v>146</v>
      </c>
      <c r="O5" s="417"/>
      <c r="P5" s="20"/>
      <c r="Q5" s="20"/>
      <c r="R5" s="405"/>
    </row>
    <row r="6" spans="1:18" ht="12.75">
      <c r="A6" s="263" t="s">
        <v>172</v>
      </c>
      <c r="B6" s="32" t="s">
        <v>173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>
        <v>0</v>
      </c>
      <c r="P6" s="20"/>
      <c r="Q6" s="20"/>
      <c r="R6" s="35" t="s">
        <v>173</v>
      </c>
    </row>
    <row r="7" spans="1:18" ht="12.75">
      <c r="A7" s="117" t="s">
        <v>174</v>
      </c>
      <c r="B7" s="36" t="s">
        <v>173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7">
        <v>0</v>
      </c>
      <c r="P7" s="20"/>
      <c r="Q7" s="20"/>
      <c r="R7" s="38" t="s">
        <v>173</v>
      </c>
    </row>
    <row r="8" spans="1:18" ht="12.75">
      <c r="A8" s="117" t="s">
        <v>175</v>
      </c>
      <c r="B8" s="36" t="s">
        <v>173</v>
      </c>
      <c r="C8" s="33"/>
      <c r="D8" s="33"/>
      <c r="E8" s="33"/>
      <c r="F8" s="33"/>
      <c r="G8" s="33"/>
      <c r="H8" s="33"/>
      <c r="I8" s="33">
        <v>5</v>
      </c>
      <c r="J8" s="33"/>
      <c r="K8" s="33"/>
      <c r="L8" s="33"/>
      <c r="M8" s="33"/>
      <c r="N8" s="33"/>
      <c r="O8" s="37">
        <v>5</v>
      </c>
      <c r="P8" s="20"/>
      <c r="Q8" s="20"/>
      <c r="R8" s="38" t="s">
        <v>173</v>
      </c>
    </row>
    <row r="9" spans="1:18" ht="12.75">
      <c r="A9" s="117" t="s">
        <v>176</v>
      </c>
      <c r="B9" s="36" t="s">
        <v>173</v>
      </c>
      <c r="C9" s="33"/>
      <c r="D9" s="33"/>
      <c r="E9" s="33"/>
      <c r="F9" s="33"/>
      <c r="G9" s="33">
        <v>0.2</v>
      </c>
      <c r="H9" s="33">
        <v>0.25</v>
      </c>
      <c r="I9" s="33"/>
      <c r="J9" s="33"/>
      <c r="K9" s="33"/>
      <c r="L9" s="33"/>
      <c r="M9" s="33"/>
      <c r="N9" s="33"/>
      <c r="O9" s="37">
        <v>0.45</v>
      </c>
      <c r="P9" s="20"/>
      <c r="Q9" s="20"/>
      <c r="R9" s="38" t="s">
        <v>173</v>
      </c>
    </row>
    <row r="10" spans="1:18" ht="12.75">
      <c r="A10" s="117" t="s">
        <v>177</v>
      </c>
      <c r="B10" s="36" t="s">
        <v>173</v>
      </c>
      <c r="C10" s="33"/>
      <c r="D10" s="33"/>
      <c r="E10" s="33">
        <v>5</v>
      </c>
      <c r="F10" s="33"/>
      <c r="G10" s="33"/>
      <c r="H10" s="33"/>
      <c r="I10" s="33"/>
      <c r="J10" s="33"/>
      <c r="K10" s="33">
        <v>6</v>
      </c>
      <c r="L10" s="33"/>
      <c r="M10" s="33"/>
      <c r="N10" s="33"/>
      <c r="O10" s="37">
        <v>11</v>
      </c>
      <c r="P10" s="20"/>
      <c r="Q10" s="20"/>
      <c r="R10" s="38" t="s">
        <v>173</v>
      </c>
    </row>
    <row r="11" spans="1:18" ht="12.75">
      <c r="A11" s="117" t="s">
        <v>178</v>
      </c>
      <c r="B11" s="36" t="s">
        <v>179</v>
      </c>
      <c r="C11" s="33"/>
      <c r="D11" s="33"/>
      <c r="E11" s="33">
        <v>8</v>
      </c>
      <c r="F11" s="33"/>
      <c r="G11" s="33"/>
      <c r="H11" s="33"/>
      <c r="I11" s="33">
        <v>12</v>
      </c>
      <c r="J11" s="33"/>
      <c r="K11" s="33"/>
      <c r="L11" s="33"/>
      <c r="M11" s="33"/>
      <c r="N11" s="33"/>
      <c r="O11" s="37">
        <v>20</v>
      </c>
      <c r="P11" s="20"/>
      <c r="Q11" s="20"/>
      <c r="R11" s="38" t="s">
        <v>180</v>
      </c>
    </row>
    <row r="12" spans="1:22" ht="12.75">
      <c r="A12" s="117" t="s">
        <v>181</v>
      </c>
      <c r="B12" s="36" t="s">
        <v>182</v>
      </c>
      <c r="C12" s="33"/>
      <c r="D12" s="33"/>
      <c r="E12" s="33"/>
      <c r="F12" s="33"/>
      <c r="G12" s="33"/>
      <c r="H12" s="33"/>
      <c r="I12" s="33">
        <v>8</v>
      </c>
      <c r="J12" s="33"/>
      <c r="K12" s="33"/>
      <c r="L12" s="33"/>
      <c r="M12" s="33"/>
      <c r="N12" s="33"/>
      <c r="O12" s="37">
        <v>8</v>
      </c>
      <c r="P12" s="20"/>
      <c r="Q12" s="20"/>
      <c r="R12" s="38" t="s">
        <v>180</v>
      </c>
      <c r="V12" s="19"/>
    </row>
    <row r="13" spans="1:18" ht="12.75">
      <c r="A13" s="117" t="s">
        <v>183</v>
      </c>
      <c r="B13" s="36" t="s">
        <v>184</v>
      </c>
      <c r="C13" s="33"/>
      <c r="D13" s="33"/>
      <c r="E13" s="33"/>
      <c r="F13" s="33"/>
      <c r="G13" s="33"/>
      <c r="H13" s="33"/>
      <c r="I13" s="33">
        <v>3</v>
      </c>
      <c r="J13" s="33"/>
      <c r="K13" s="33"/>
      <c r="L13" s="33"/>
      <c r="M13" s="33"/>
      <c r="N13" s="33"/>
      <c r="O13" s="37">
        <v>3</v>
      </c>
      <c r="P13" s="20"/>
      <c r="Q13" s="20"/>
      <c r="R13" s="38" t="s">
        <v>185</v>
      </c>
    </row>
    <row r="14" spans="1:18" ht="12.75">
      <c r="A14" s="117" t="s">
        <v>186</v>
      </c>
      <c r="B14" s="36" t="s">
        <v>173</v>
      </c>
      <c r="C14" s="33"/>
      <c r="D14" s="33"/>
      <c r="E14" s="33"/>
      <c r="F14" s="33"/>
      <c r="G14" s="33">
        <v>0.25</v>
      </c>
      <c r="H14" s="33"/>
      <c r="I14" s="33"/>
      <c r="J14" s="33"/>
      <c r="K14" s="33"/>
      <c r="L14" s="33"/>
      <c r="M14" s="33"/>
      <c r="N14" s="33"/>
      <c r="O14" s="37">
        <v>0.25</v>
      </c>
      <c r="P14" s="20"/>
      <c r="Q14" s="20"/>
      <c r="R14" s="38" t="s">
        <v>173</v>
      </c>
    </row>
    <row r="15" spans="1:18" ht="12.75">
      <c r="A15" s="117" t="s">
        <v>187</v>
      </c>
      <c r="B15" s="36" t="s">
        <v>173</v>
      </c>
      <c r="C15" s="33">
        <v>2.5</v>
      </c>
      <c r="D15" s="33">
        <v>3</v>
      </c>
      <c r="E15" s="33">
        <v>2.5</v>
      </c>
      <c r="F15" s="33">
        <v>2</v>
      </c>
      <c r="G15" s="33">
        <v>2</v>
      </c>
      <c r="H15" s="33">
        <v>2</v>
      </c>
      <c r="I15" s="33">
        <v>2</v>
      </c>
      <c r="J15" s="33">
        <v>3</v>
      </c>
      <c r="K15" s="33">
        <v>1</v>
      </c>
      <c r="L15" s="33">
        <v>2.5</v>
      </c>
      <c r="M15" s="33">
        <v>2</v>
      </c>
      <c r="N15" s="33">
        <v>3</v>
      </c>
      <c r="O15" s="37" t="s">
        <v>188</v>
      </c>
      <c r="P15" s="20"/>
      <c r="Q15" s="20"/>
      <c r="R15" s="38" t="s">
        <v>173</v>
      </c>
    </row>
    <row r="16" spans="1:18" ht="12.75">
      <c r="A16" s="117" t="s">
        <v>189</v>
      </c>
      <c r="B16" s="36" t="s">
        <v>173</v>
      </c>
      <c r="C16" s="33"/>
      <c r="D16" s="33"/>
      <c r="E16" s="33"/>
      <c r="F16" s="33">
        <v>2</v>
      </c>
      <c r="G16" s="33"/>
      <c r="H16" s="33"/>
      <c r="I16" s="33"/>
      <c r="J16" s="33">
        <v>1.5</v>
      </c>
      <c r="K16" s="33"/>
      <c r="L16" s="33"/>
      <c r="M16" s="33"/>
      <c r="N16" s="33"/>
      <c r="O16" s="37">
        <v>3.5</v>
      </c>
      <c r="P16" s="20"/>
      <c r="Q16" s="20"/>
      <c r="R16" s="38" t="s">
        <v>173</v>
      </c>
    </row>
    <row r="17" spans="1:18" ht="12.75">
      <c r="A17" s="117" t="s">
        <v>190</v>
      </c>
      <c r="B17" s="36" t="s">
        <v>168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7">
        <v>0</v>
      </c>
      <c r="P17" s="20"/>
      <c r="Q17" s="20"/>
      <c r="R17" s="38" t="s">
        <v>191</v>
      </c>
    </row>
    <row r="18" spans="1:18" ht="12.75">
      <c r="A18" s="117" t="s">
        <v>192</v>
      </c>
      <c r="B18" s="36" t="s">
        <v>168</v>
      </c>
      <c r="C18" s="33">
        <v>70</v>
      </c>
      <c r="D18" s="33">
        <v>100</v>
      </c>
      <c r="E18" s="33">
        <v>70</v>
      </c>
      <c r="F18" s="33">
        <v>80</v>
      </c>
      <c r="G18" s="33">
        <v>100</v>
      </c>
      <c r="H18" s="33"/>
      <c r="I18" s="33">
        <v>80</v>
      </c>
      <c r="J18" s="33">
        <v>80</v>
      </c>
      <c r="K18" s="33">
        <v>280</v>
      </c>
      <c r="L18" s="33">
        <v>100</v>
      </c>
      <c r="M18" s="33">
        <v>200</v>
      </c>
      <c r="N18" s="33">
        <v>80</v>
      </c>
      <c r="O18" s="39">
        <v>1240</v>
      </c>
      <c r="P18" s="20"/>
      <c r="Q18" s="20"/>
      <c r="R18" s="38" t="s">
        <v>191</v>
      </c>
    </row>
    <row r="19" spans="1:18" ht="12.75">
      <c r="A19" s="117" t="s">
        <v>193</v>
      </c>
      <c r="B19" s="36" t="s">
        <v>168</v>
      </c>
      <c r="C19" s="33">
        <v>380</v>
      </c>
      <c r="D19" s="33"/>
      <c r="E19" s="33">
        <v>380</v>
      </c>
      <c r="F19" s="33">
        <v>260</v>
      </c>
      <c r="G19" s="33">
        <v>290</v>
      </c>
      <c r="H19" s="33">
        <v>450</v>
      </c>
      <c r="I19" s="33">
        <v>160</v>
      </c>
      <c r="J19" s="33">
        <v>300</v>
      </c>
      <c r="K19" s="33">
        <v>180</v>
      </c>
      <c r="L19" s="33">
        <v>300</v>
      </c>
      <c r="M19" s="33">
        <v>205</v>
      </c>
      <c r="N19" s="33">
        <v>300</v>
      </c>
      <c r="O19" s="39">
        <v>3205</v>
      </c>
      <c r="P19" s="20"/>
      <c r="Q19" s="20"/>
      <c r="R19" s="38" t="s">
        <v>191</v>
      </c>
    </row>
    <row r="20" spans="1:18" ht="12.75">
      <c r="A20" s="117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>
        <v>0</v>
      </c>
      <c r="P20" s="20"/>
      <c r="Q20" s="20"/>
      <c r="R20" s="38" t="s">
        <v>196</v>
      </c>
    </row>
    <row r="21" spans="1:18" ht="12.75">
      <c r="A21" s="117" t="s">
        <v>197</v>
      </c>
      <c r="B21" s="36" t="s">
        <v>173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7">
        <v>0</v>
      </c>
      <c r="P21" s="20"/>
      <c r="Q21" s="20"/>
      <c r="R21" s="38" t="s">
        <v>173</v>
      </c>
    </row>
    <row r="22" spans="1:18" ht="12.75">
      <c r="A22" s="117" t="s">
        <v>198</v>
      </c>
      <c r="B22" s="36" t="s">
        <v>173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7">
        <v>0</v>
      </c>
      <c r="P22" s="20"/>
      <c r="Q22" s="20"/>
      <c r="R22" s="38" t="s">
        <v>173</v>
      </c>
    </row>
    <row r="23" spans="1:18" ht="12.75">
      <c r="A23" s="117" t="s">
        <v>199</v>
      </c>
      <c r="B23" s="36" t="s">
        <v>179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7">
        <v>0</v>
      </c>
      <c r="P23" s="20"/>
      <c r="Q23" s="20"/>
      <c r="R23" s="38" t="s">
        <v>180</v>
      </c>
    </row>
    <row r="24" spans="1:18" ht="12.75">
      <c r="A24" s="117" t="s">
        <v>200</v>
      </c>
      <c r="B24" s="36" t="s">
        <v>173</v>
      </c>
      <c r="C24" s="33"/>
      <c r="D24" s="33"/>
      <c r="E24" s="33">
        <v>6</v>
      </c>
      <c r="F24" s="33"/>
      <c r="G24" s="33"/>
      <c r="H24" s="33"/>
      <c r="I24" s="33"/>
      <c r="J24" s="33"/>
      <c r="K24" s="33"/>
      <c r="L24" s="33"/>
      <c r="M24" s="33"/>
      <c r="N24" s="33"/>
      <c r="O24" s="37">
        <v>6</v>
      </c>
      <c r="P24" s="20"/>
      <c r="Q24" s="20"/>
      <c r="R24" s="38" t="s">
        <v>173</v>
      </c>
    </row>
    <row r="25" spans="1:18" ht="12.75">
      <c r="A25" s="117" t="s">
        <v>201</v>
      </c>
      <c r="B25" s="36" t="s">
        <v>173</v>
      </c>
      <c r="C25" s="33">
        <v>8</v>
      </c>
      <c r="D25" s="33">
        <v>5</v>
      </c>
      <c r="E25" s="33">
        <v>8</v>
      </c>
      <c r="F25" s="33">
        <v>8</v>
      </c>
      <c r="G25" s="33">
        <v>7</v>
      </c>
      <c r="H25" s="33">
        <v>5</v>
      </c>
      <c r="I25" s="33">
        <v>6</v>
      </c>
      <c r="J25" s="33">
        <v>5</v>
      </c>
      <c r="K25" s="33">
        <v>5</v>
      </c>
      <c r="L25" s="40">
        <v>10</v>
      </c>
      <c r="M25" s="33">
        <v>8</v>
      </c>
      <c r="N25" s="33">
        <v>5</v>
      </c>
      <c r="O25" s="37">
        <v>80</v>
      </c>
      <c r="P25" s="20"/>
      <c r="Q25" s="20"/>
      <c r="R25" s="38" t="s">
        <v>173</v>
      </c>
    </row>
    <row r="26" spans="1:18" ht="12.75">
      <c r="A26" s="117" t="s">
        <v>202</v>
      </c>
      <c r="B26" s="36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>
        <v>0</v>
      </c>
      <c r="P26" s="20"/>
      <c r="Q26" s="20"/>
      <c r="R26" s="38" t="s">
        <v>173</v>
      </c>
    </row>
    <row r="27" spans="1:18" ht="12.75">
      <c r="A27" s="117" t="s">
        <v>203</v>
      </c>
      <c r="B27" s="36" t="s">
        <v>179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>
        <v>0</v>
      </c>
      <c r="P27" s="20"/>
      <c r="Q27" s="20"/>
      <c r="R27" s="38" t="s">
        <v>180</v>
      </c>
    </row>
    <row r="28" spans="1:18" ht="12.75">
      <c r="A28" s="117" t="s">
        <v>204</v>
      </c>
      <c r="B28" s="24" t="s">
        <v>173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1">
        <v>0</v>
      </c>
      <c r="P28" s="20"/>
      <c r="Q28" s="20"/>
      <c r="R28" s="38" t="s">
        <v>173</v>
      </c>
    </row>
    <row r="29" spans="1:18" ht="12.75">
      <c r="A29" s="117" t="s">
        <v>205</v>
      </c>
      <c r="B29" s="24" t="s">
        <v>173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1">
        <v>0</v>
      </c>
      <c r="P29" s="20"/>
      <c r="Q29" s="20"/>
      <c r="R29" s="38" t="s">
        <v>173</v>
      </c>
    </row>
    <row r="30" spans="1:18" ht="13.5" thickBot="1">
      <c r="A30" s="119" t="s">
        <v>206</v>
      </c>
      <c r="B30" s="60" t="s">
        <v>168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120">
        <v>0</v>
      </c>
      <c r="P30" s="261"/>
      <c r="Q30" s="261"/>
      <c r="R30" s="42" t="s">
        <v>191</v>
      </c>
    </row>
    <row r="33" ht="12.75">
      <c r="I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0.421875" style="0" customWidth="1"/>
    <col min="16" max="17" width="9.140625" style="0" hidden="1" customWidth="1"/>
  </cols>
  <sheetData>
    <row r="1" spans="1:15" ht="12.75">
      <c r="A1" s="406" t="s">
        <v>207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</row>
    <row r="4" spans="1:18" ht="21" thickBot="1">
      <c r="A4" s="421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R4" s="404" t="s">
        <v>167</v>
      </c>
    </row>
    <row r="5" spans="1:18" ht="13.5" thickBot="1">
      <c r="A5" s="422"/>
      <c r="B5" s="27" t="s">
        <v>168</v>
      </c>
      <c r="C5" s="28" t="s">
        <v>135</v>
      </c>
      <c r="D5" s="29" t="s">
        <v>136</v>
      </c>
      <c r="E5" s="29" t="s">
        <v>169</v>
      </c>
      <c r="F5" s="29" t="s">
        <v>138</v>
      </c>
      <c r="G5" s="29" t="s">
        <v>139</v>
      </c>
      <c r="H5" s="29" t="s">
        <v>140</v>
      </c>
      <c r="I5" s="29" t="s">
        <v>170</v>
      </c>
      <c r="J5" s="29" t="s">
        <v>142</v>
      </c>
      <c r="K5" s="29" t="s">
        <v>143</v>
      </c>
      <c r="L5" s="29" t="s">
        <v>171</v>
      </c>
      <c r="M5" s="29" t="s">
        <v>145</v>
      </c>
      <c r="N5" s="30" t="s">
        <v>146</v>
      </c>
      <c r="O5" s="417"/>
      <c r="R5" s="405"/>
    </row>
    <row r="6" spans="1:18" ht="12.75">
      <c r="A6" s="31" t="s">
        <v>172</v>
      </c>
      <c r="B6" s="32" t="s">
        <v>173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>
        <v>0</v>
      </c>
      <c r="R6" s="35" t="s">
        <v>173</v>
      </c>
    </row>
    <row r="7" spans="1:18" ht="12.75">
      <c r="A7" s="31" t="s">
        <v>174</v>
      </c>
      <c r="B7" s="36" t="s">
        <v>173</v>
      </c>
      <c r="C7" s="33"/>
      <c r="D7" s="33">
        <v>10</v>
      </c>
      <c r="E7" s="33"/>
      <c r="F7" s="33"/>
      <c r="G7" s="33">
        <v>66</v>
      </c>
      <c r="H7" s="33"/>
      <c r="I7" s="33"/>
      <c r="J7" s="33"/>
      <c r="K7" s="33"/>
      <c r="L7" s="33"/>
      <c r="M7" s="33"/>
      <c r="N7" s="33">
        <v>25</v>
      </c>
      <c r="O7" s="37">
        <v>101</v>
      </c>
      <c r="R7" s="38" t="s">
        <v>173</v>
      </c>
    </row>
    <row r="8" spans="1:18" ht="12.75">
      <c r="A8" s="31" t="s">
        <v>175</v>
      </c>
      <c r="B8" s="36" t="s">
        <v>173</v>
      </c>
      <c r="C8" s="33"/>
      <c r="D8" s="33"/>
      <c r="E8" s="33"/>
      <c r="F8" s="33"/>
      <c r="G8" s="33"/>
      <c r="H8" s="33"/>
      <c r="I8" s="33">
        <v>4</v>
      </c>
      <c r="J8" s="33"/>
      <c r="K8" s="33"/>
      <c r="L8" s="33"/>
      <c r="M8" s="33"/>
      <c r="N8" s="33"/>
      <c r="O8" s="37">
        <v>4</v>
      </c>
      <c r="R8" s="38" t="s">
        <v>173</v>
      </c>
    </row>
    <row r="9" spans="1:18" ht="12.75">
      <c r="A9" s="31" t="s">
        <v>176</v>
      </c>
      <c r="B9" s="36" t="s">
        <v>173</v>
      </c>
      <c r="C9" s="33"/>
      <c r="D9" s="33"/>
      <c r="E9" s="33"/>
      <c r="F9" s="33"/>
      <c r="G9" s="33"/>
      <c r="H9" s="33">
        <v>0.45</v>
      </c>
      <c r="I9" s="33"/>
      <c r="J9" s="33"/>
      <c r="K9" s="33"/>
      <c r="L9" s="33"/>
      <c r="M9" s="33"/>
      <c r="N9" s="33"/>
      <c r="O9" s="37">
        <v>0.45</v>
      </c>
      <c r="R9" s="38" t="s">
        <v>173</v>
      </c>
    </row>
    <row r="10" spans="1:18" ht="12.75">
      <c r="A10" s="31" t="s">
        <v>177</v>
      </c>
      <c r="B10" s="36" t="s">
        <v>173</v>
      </c>
      <c r="C10" s="33">
        <v>16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7">
        <v>16</v>
      </c>
      <c r="R10" s="38" t="s">
        <v>173</v>
      </c>
    </row>
    <row r="11" spans="1:18" ht="12.75">
      <c r="A11" s="31" t="s">
        <v>178</v>
      </c>
      <c r="B11" s="36" t="s">
        <v>179</v>
      </c>
      <c r="C11" s="33"/>
      <c r="D11" s="33"/>
      <c r="E11" s="33"/>
      <c r="F11" s="33"/>
      <c r="G11" s="33"/>
      <c r="H11" s="33"/>
      <c r="I11" s="33">
        <v>14</v>
      </c>
      <c r="J11" s="33"/>
      <c r="K11" s="33"/>
      <c r="L11" s="33"/>
      <c r="M11" s="33"/>
      <c r="N11" s="33"/>
      <c r="O11" s="37">
        <v>14</v>
      </c>
      <c r="R11" s="38" t="s">
        <v>180</v>
      </c>
    </row>
    <row r="12" spans="1:22" ht="12.75">
      <c r="A12" s="31" t="s">
        <v>181</v>
      </c>
      <c r="B12" s="36" t="s">
        <v>182</v>
      </c>
      <c r="C12" s="33"/>
      <c r="D12" s="33"/>
      <c r="E12" s="33"/>
      <c r="F12" s="33"/>
      <c r="G12" s="33"/>
      <c r="H12" s="33"/>
      <c r="I12" s="33">
        <v>12</v>
      </c>
      <c r="J12" s="33"/>
      <c r="K12" s="33"/>
      <c r="L12" s="33"/>
      <c r="M12" s="33"/>
      <c r="N12" s="33"/>
      <c r="O12" s="37">
        <v>2</v>
      </c>
      <c r="R12" s="38" t="s">
        <v>180</v>
      </c>
      <c r="V12" s="19"/>
    </row>
    <row r="13" spans="1:18" ht="12.75">
      <c r="A13" s="31" t="s">
        <v>183</v>
      </c>
      <c r="B13" s="36" t="s">
        <v>184</v>
      </c>
      <c r="C13" s="33"/>
      <c r="D13" s="33"/>
      <c r="E13" s="33"/>
      <c r="F13" s="33"/>
      <c r="G13" s="33"/>
      <c r="H13" s="33"/>
      <c r="I13" s="33">
        <v>2</v>
      </c>
      <c r="J13" s="33"/>
      <c r="K13" s="33"/>
      <c r="L13" s="33"/>
      <c r="M13" s="33"/>
      <c r="N13" s="33"/>
      <c r="O13" s="37">
        <v>3</v>
      </c>
      <c r="R13" s="38" t="s">
        <v>185</v>
      </c>
    </row>
    <row r="14" spans="1:18" ht="12.75">
      <c r="A14" s="31" t="s">
        <v>186</v>
      </c>
      <c r="B14" s="36" t="s">
        <v>173</v>
      </c>
      <c r="C14" s="33">
        <v>0.5</v>
      </c>
      <c r="D14" s="33">
        <v>0.5</v>
      </c>
      <c r="E14" s="33">
        <v>1.5</v>
      </c>
      <c r="F14" s="33">
        <v>1.5</v>
      </c>
      <c r="G14" s="33">
        <v>1</v>
      </c>
      <c r="H14" s="33">
        <v>0.5</v>
      </c>
      <c r="I14" s="33"/>
      <c r="J14" s="33"/>
      <c r="K14" s="33">
        <v>0.5</v>
      </c>
      <c r="L14" s="33"/>
      <c r="M14" s="33">
        <v>1</v>
      </c>
      <c r="N14" s="33">
        <v>0.5</v>
      </c>
      <c r="O14" s="37" t="s">
        <v>208</v>
      </c>
      <c r="R14" s="38" t="s">
        <v>173</v>
      </c>
    </row>
    <row r="15" spans="1:18" ht="12.75">
      <c r="A15" s="31" t="s">
        <v>187</v>
      </c>
      <c r="B15" s="36" t="s">
        <v>173</v>
      </c>
      <c r="C15" s="33">
        <v>1.5</v>
      </c>
      <c r="D15" s="33">
        <v>1.5</v>
      </c>
      <c r="E15" s="33">
        <v>0.5</v>
      </c>
      <c r="F15" s="33">
        <v>0.5</v>
      </c>
      <c r="G15" s="33"/>
      <c r="H15" s="33">
        <v>0.5</v>
      </c>
      <c r="I15" s="33">
        <v>0.5</v>
      </c>
      <c r="J15" s="33">
        <v>2</v>
      </c>
      <c r="K15" s="33">
        <v>1.5</v>
      </c>
      <c r="L15" s="33">
        <v>2</v>
      </c>
      <c r="M15" s="33">
        <v>1</v>
      </c>
      <c r="N15" s="33">
        <v>0.5</v>
      </c>
      <c r="O15" s="37">
        <v>12</v>
      </c>
      <c r="R15" s="38" t="s">
        <v>173</v>
      </c>
    </row>
    <row r="16" spans="1:18" ht="12.75">
      <c r="A16" s="31" t="s">
        <v>189</v>
      </c>
      <c r="B16" s="36" t="s">
        <v>173</v>
      </c>
      <c r="C16" s="33">
        <v>3.44</v>
      </c>
      <c r="D16" s="33">
        <v>1</v>
      </c>
      <c r="E16" s="33">
        <v>1</v>
      </c>
      <c r="F16" s="33">
        <v>0.4</v>
      </c>
      <c r="G16" s="33">
        <v>1</v>
      </c>
      <c r="H16" s="33">
        <v>0.825</v>
      </c>
      <c r="I16" s="33">
        <v>1.593</v>
      </c>
      <c r="J16" s="33"/>
      <c r="K16" s="33">
        <v>1</v>
      </c>
      <c r="L16" s="33"/>
      <c r="M16" s="33"/>
      <c r="N16" s="33"/>
      <c r="O16" s="39">
        <v>10258</v>
      </c>
      <c r="P16">
        <f>SUM(C16:O16)</f>
        <v>10268.258</v>
      </c>
      <c r="R16" s="38" t="s">
        <v>173</v>
      </c>
    </row>
    <row r="17" spans="1:18" ht="12.75">
      <c r="A17" s="31" t="s">
        <v>190</v>
      </c>
      <c r="B17" s="36" t="s">
        <v>168</v>
      </c>
      <c r="C17" s="33"/>
      <c r="D17" s="33"/>
      <c r="E17" s="33"/>
      <c r="F17" s="33"/>
      <c r="G17" s="33">
        <v>200</v>
      </c>
      <c r="H17" s="33"/>
      <c r="I17" s="33"/>
      <c r="J17" s="33"/>
      <c r="K17" s="33"/>
      <c r="L17" s="33"/>
      <c r="M17" s="33"/>
      <c r="N17" s="33"/>
      <c r="O17" s="37">
        <v>200</v>
      </c>
      <c r="R17" s="38" t="s">
        <v>191</v>
      </c>
    </row>
    <row r="18" spans="1:18" ht="12.75">
      <c r="A18" s="31" t="s">
        <v>192</v>
      </c>
      <c r="B18" s="36" t="s">
        <v>168</v>
      </c>
      <c r="C18" s="33"/>
      <c r="D18" s="33"/>
      <c r="E18" s="33"/>
      <c r="F18" s="33"/>
      <c r="G18" s="33"/>
      <c r="H18" s="33">
        <v>120</v>
      </c>
      <c r="I18" s="33"/>
      <c r="J18" s="33"/>
      <c r="K18" s="33"/>
      <c r="L18" s="33"/>
      <c r="M18" s="33"/>
      <c r="N18" s="33"/>
      <c r="O18" s="37">
        <v>120</v>
      </c>
      <c r="R18" s="38" t="s">
        <v>191</v>
      </c>
    </row>
    <row r="19" spans="1:18" ht="12.75">
      <c r="A19" s="31" t="s">
        <v>193</v>
      </c>
      <c r="B19" s="36" t="s">
        <v>168</v>
      </c>
      <c r="C19" s="33">
        <v>290</v>
      </c>
      <c r="D19" s="33">
        <v>240</v>
      </c>
      <c r="E19" s="33">
        <v>230</v>
      </c>
      <c r="F19" s="33">
        <v>210</v>
      </c>
      <c r="G19" s="33">
        <v>210</v>
      </c>
      <c r="H19" s="33">
        <v>120</v>
      </c>
      <c r="I19" s="33">
        <v>110</v>
      </c>
      <c r="J19" s="33">
        <v>200</v>
      </c>
      <c r="K19" s="33">
        <v>230</v>
      </c>
      <c r="L19" s="33">
        <v>200</v>
      </c>
      <c r="M19" s="33">
        <v>210</v>
      </c>
      <c r="N19" s="33">
        <v>200</v>
      </c>
      <c r="O19" s="39">
        <v>2450</v>
      </c>
      <c r="R19" s="38" t="s">
        <v>191</v>
      </c>
    </row>
    <row r="20" spans="1:18" ht="12.75">
      <c r="A20" s="31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>
        <v>0</v>
      </c>
      <c r="R20" s="38" t="s">
        <v>196</v>
      </c>
    </row>
    <row r="21" spans="1:18" ht="12.75">
      <c r="A21" s="31" t="s">
        <v>197</v>
      </c>
      <c r="B21" s="36" t="s">
        <v>173</v>
      </c>
      <c r="C21" s="33"/>
      <c r="D21" s="33"/>
      <c r="E21" s="33"/>
      <c r="F21" s="33"/>
      <c r="G21" s="33">
        <v>1</v>
      </c>
      <c r="H21" s="33"/>
      <c r="I21" s="33"/>
      <c r="J21" s="33"/>
      <c r="K21" s="33"/>
      <c r="L21" s="33"/>
      <c r="M21" s="33"/>
      <c r="N21" s="33"/>
      <c r="O21" s="37">
        <v>1</v>
      </c>
      <c r="R21" s="38" t="s">
        <v>173</v>
      </c>
    </row>
    <row r="22" spans="1:18" ht="12.75">
      <c r="A22" s="31" t="s">
        <v>198</v>
      </c>
      <c r="B22" s="36" t="s">
        <v>173</v>
      </c>
      <c r="C22" s="33">
        <v>2.7</v>
      </c>
      <c r="D22" s="33"/>
      <c r="E22" s="33">
        <v>1</v>
      </c>
      <c r="F22" s="33">
        <v>3.2</v>
      </c>
      <c r="G22" s="33">
        <v>1</v>
      </c>
      <c r="H22" s="33">
        <v>2.84</v>
      </c>
      <c r="I22" s="33">
        <v>3.85</v>
      </c>
      <c r="J22" s="33"/>
      <c r="K22" s="33"/>
      <c r="L22" s="33"/>
      <c r="M22" s="33">
        <v>2</v>
      </c>
      <c r="N22" s="33"/>
      <c r="O22" s="39">
        <v>16590</v>
      </c>
      <c r="R22" s="38" t="s">
        <v>173</v>
      </c>
    </row>
    <row r="23" spans="1:18" ht="12.75">
      <c r="A23" s="31" t="s">
        <v>199</v>
      </c>
      <c r="B23" s="36" t="s">
        <v>179</v>
      </c>
      <c r="C23" s="33"/>
      <c r="D23" s="33"/>
      <c r="E23" s="33"/>
      <c r="F23" s="33"/>
      <c r="G23" s="33">
        <v>28</v>
      </c>
      <c r="H23" s="33"/>
      <c r="I23" s="33"/>
      <c r="J23" s="33"/>
      <c r="K23" s="33"/>
      <c r="L23" s="33"/>
      <c r="M23" s="33"/>
      <c r="N23" s="33">
        <v>32</v>
      </c>
      <c r="O23" s="37">
        <v>60</v>
      </c>
      <c r="R23" s="38" t="s">
        <v>180</v>
      </c>
    </row>
    <row r="24" spans="1:18" ht="12.75">
      <c r="A24" s="31" t="s">
        <v>200</v>
      </c>
      <c r="B24" s="36" t="s">
        <v>173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>
        <v>6</v>
      </c>
      <c r="R24" s="38" t="s">
        <v>173</v>
      </c>
    </row>
    <row r="25" spans="1:18" ht="12.75">
      <c r="A25" s="31" t="s">
        <v>201</v>
      </c>
      <c r="B25" s="36" t="s">
        <v>173</v>
      </c>
      <c r="C25" s="33">
        <v>1</v>
      </c>
      <c r="D25" s="33"/>
      <c r="E25" s="33"/>
      <c r="F25" s="33">
        <v>0.5</v>
      </c>
      <c r="G25" s="33"/>
      <c r="H25" s="33"/>
      <c r="I25" s="33"/>
      <c r="J25" s="33"/>
      <c r="K25" s="33">
        <v>1</v>
      </c>
      <c r="L25" s="40"/>
      <c r="M25" s="33"/>
      <c r="N25" s="33">
        <v>0.5</v>
      </c>
      <c r="O25" s="37">
        <v>3</v>
      </c>
      <c r="R25" s="38" t="s">
        <v>173</v>
      </c>
    </row>
    <row r="26" spans="1:18" ht="12.75">
      <c r="A26" s="31" t="s">
        <v>202</v>
      </c>
      <c r="B26" s="36" t="s">
        <v>173</v>
      </c>
      <c r="C26" s="33"/>
      <c r="D26" s="33"/>
      <c r="E26" s="33"/>
      <c r="F26" s="33"/>
      <c r="G26" s="33">
        <v>10</v>
      </c>
      <c r="H26" s="33"/>
      <c r="I26" s="33"/>
      <c r="J26" s="33"/>
      <c r="K26" s="33"/>
      <c r="L26" s="33"/>
      <c r="M26" s="33"/>
      <c r="N26" s="33"/>
      <c r="O26" s="37">
        <v>10</v>
      </c>
      <c r="R26" s="38" t="s">
        <v>173</v>
      </c>
    </row>
    <row r="27" spans="1:18" ht="12.75">
      <c r="A27" s="31" t="s">
        <v>203</v>
      </c>
      <c r="B27" s="36" t="s">
        <v>179</v>
      </c>
      <c r="C27" s="33">
        <v>24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>
        <v>24</v>
      </c>
      <c r="R27" s="38" t="s">
        <v>180</v>
      </c>
    </row>
    <row r="28" spans="1:18" ht="12.75">
      <c r="A28" s="31" t="s">
        <v>204</v>
      </c>
      <c r="B28" s="24" t="s">
        <v>173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7">
        <v>0</v>
      </c>
      <c r="R28" s="38" t="s">
        <v>173</v>
      </c>
    </row>
    <row r="29" spans="1:18" ht="12.75">
      <c r="A29" s="31" t="s">
        <v>209</v>
      </c>
      <c r="B29" s="24" t="s">
        <v>173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1">
        <v>0</v>
      </c>
      <c r="R29" s="38" t="s">
        <v>173</v>
      </c>
    </row>
    <row r="30" spans="1:18" ht="12.75">
      <c r="A30" s="31" t="s">
        <v>206</v>
      </c>
      <c r="B30" s="24" t="s">
        <v>168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>
        <v>1000</v>
      </c>
      <c r="O30" s="39">
        <v>1000</v>
      </c>
      <c r="R30" s="38" t="s">
        <v>173</v>
      </c>
    </row>
    <row r="33" ht="12.75">
      <c r="J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6.00390625" style="0" bestFit="1" customWidth="1"/>
    <col min="2" max="2" width="8.57421875" style="0" customWidth="1"/>
    <col min="3" max="3" width="8.00390625" style="0" customWidth="1"/>
    <col min="4" max="4" width="9.8515625" style="0" customWidth="1"/>
    <col min="5" max="5" width="6.7109375" style="0" bestFit="1" customWidth="1"/>
    <col min="6" max="7" width="5.7109375" style="0" customWidth="1"/>
    <col min="8" max="8" width="6.57421875" style="0" customWidth="1"/>
    <col min="9" max="9" width="6.28125" style="0" customWidth="1"/>
    <col min="10" max="10" width="7.28125" style="0" customWidth="1"/>
    <col min="11" max="11" width="9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10.8515625" style="0" customWidth="1"/>
    <col min="16" max="17" width="9.140625" style="0" hidden="1" customWidth="1"/>
  </cols>
  <sheetData>
    <row r="1" spans="1:15" ht="12.75">
      <c r="A1" s="406" t="s">
        <v>210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</row>
    <row r="3" spans="1:15" ht="13.5" thickBot="1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</row>
    <row r="4" spans="1:18" ht="21" thickBot="1">
      <c r="A4" s="421" t="s">
        <v>165</v>
      </c>
      <c r="B4" s="414" t="s">
        <v>166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6" t="s">
        <v>11</v>
      </c>
      <c r="R4" s="404" t="s">
        <v>167</v>
      </c>
    </row>
    <row r="5" spans="1:18" ht="13.5" thickBot="1">
      <c r="A5" s="422"/>
      <c r="B5" s="27" t="s">
        <v>168</v>
      </c>
      <c r="C5" s="28" t="s">
        <v>135</v>
      </c>
      <c r="D5" s="29" t="s">
        <v>136</v>
      </c>
      <c r="E5" s="29" t="s">
        <v>169</v>
      </c>
      <c r="F5" s="29" t="s">
        <v>138</v>
      </c>
      <c r="G5" s="29" t="s">
        <v>139</v>
      </c>
      <c r="H5" s="29" t="s">
        <v>140</v>
      </c>
      <c r="I5" s="29" t="s">
        <v>170</v>
      </c>
      <c r="J5" s="29" t="s">
        <v>142</v>
      </c>
      <c r="K5" s="29" t="s">
        <v>143</v>
      </c>
      <c r="L5" s="29" t="s">
        <v>171</v>
      </c>
      <c r="M5" s="29" t="s">
        <v>145</v>
      </c>
      <c r="N5" s="30" t="s">
        <v>146</v>
      </c>
      <c r="O5" s="417"/>
      <c r="R5" s="405"/>
    </row>
    <row r="6" spans="1:18" ht="12.75">
      <c r="A6" s="31" t="s">
        <v>172</v>
      </c>
      <c r="B6" s="32" t="s">
        <v>173</v>
      </c>
      <c r="C6" s="33"/>
      <c r="D6" s="33"/>
      <c r="E6" s="33"/>
      <c r="F6" s="33">
        <v>1</v>
      </c>
      <c r="G6" s="33"/>
      <c r="H6" s="33"/>
      <c r="I6" s="33"/>
      <c r="J6" s="33"/>
      <c r="K6" s="33">
        <v>2</v>
      </c>
      <c r="L6" s="33"/>
      <c r="M6" s="33"/>
      <c r="N6" s="33"/>
      <c r="O6" s="34">
        <v>3</v>
      </c>
      <c r="R6" s="35" t="s">
        <v>173</v>
      </c>
    </row>
    <row r="7" spans="1:18" ht="12.75">
      <c r="A7" s="31" t="s">
        <v>174</v>
      </c>
      <c r="B7" s="36" t="s">
        <v>173</v>
      </c>
      <c r="C7" s="33"/>
      <c r="D7" s="33"/>
      <c r="E7" s="33"/>
      <c r="F7" s="33"/>
      <c r="G7" s="33">
        <v>5</v>
      </c>
      <c r="H7" s="33"/>
      <c r="I7" s="33"/>
      <c r="J7" s="33"/>
      <c r="K7" s="33"/>
      <c r="L7" s="33"/>
      <c r="M7" s="33"/>
      <c r="N7" s="33">
        <v>25</v>
      </c>
      <c r="O7" s="37">
        <v>30</v>
      </c>
      <c r="R7" s="38" t="s">
        <v>173</v>
      </c>
    </row>
    <row r="8" spans="1:18" ht="12.75">
      <c r="A8" s="31" t="s">
        <v>175</v>
      </c>
      <c r="B8" s="36" t="s">
        <v>173</v>
      </c>
      <c r="C8" s="33"/>
      <c r="D8" s="33"/>
      <c r="E8" s="33"/>
      <c r="F8" s="33"/>
      <c r="G8" s="33"/>
      <c r="H8" s="33"/>
      <c r="I8" s="33">
        <v>6</v>
      </c>
      <c r="J8" s="33"/>
      <c r="K8" s="33"/>
      <c r="L8" s="33"/>
      <c r="M8" s="33"/>
      <c r="N8" s="33"/>
      <c r="O8" s="37">
        <v>6</v>
      </c>
      <c r="R8" s="38" t="s">
        <v>173</v>
      </c>
    </row>
    <row r="9" spans="1:18" ht="12.75">
      <c r="A9" s="31" t="s">
        <v>176</v>
      </c>
      <c r="B9" s="36" t="s">
        <v>173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7">
        <v>0</v>
      </c>
      <c r="R9" s="38" t="s">
        <v>173</v>
      </c>
    </row>
    <row r="10" spans="1:18" ht="12.75">
      <c r="A10" s="31" t="s">
        <v>177</v>
      </c>
      <c r="B10" s="36" t="s">
        <v>173</v>
      </c>
      <c r="C10" s="33"/>
      <c r="D10" s="33"/>
      <c r="E10" s="33"/>
      <c r="F10" s="33"/>
      <c r="G10" s="33">
        <v>25</v>
      </c>
      <c r="H10" s="33">
        <v>25</v>
      </c>
      <c r="I10" s="33"/>
      <c r="J10" s="33"/>
      <c r="K10" s="33"/>
      <c r="L10" s="33"/>
      <c r="M10" s="33">
        <v>10</v>
      </c>
      <c r="N10" s="33"/>
      <c r="O10" s="37">
        <v>60</v>
      </c>
      <c r="R10" s="38" t="s">
        <v>173</v>
      </c>
    </row>
    <row r="11" spans="1:18" ht="12.75">
      <c r="A11" s="31" t="s">
        <v>178</v>
      </c>
      <c r="B11" s="36" t="s">
        <v>179</v>
      </c>
      <c r="C11" s="33"/>
      <c r="D11" s="33"/>
      <c r="E11" s="33">
        <v>10</v>
      </c>
      <c r="F11" s="33">
        <v>22</v>
      </c>
      <c r="G11" s="33">
        <v>12</v>
      </c>
      <c r="H11" s="33">
        <v>12</v>
      </c>
      <c r="I11" s="33">
        <v>10</v>
      </c>
      <c r="J11" s="33">
        <v>12</v>
      </c>
      <c r="K11" s="33">
        <v>24</v>
      </c>
      <c r="L11" s="33">
        <v>10</v>
      </c>
      <c r="M11" s="33">
        <v>12</v>
      </c>
      <c r="N11" s="33">
        <v>12</v>
      </c>
      <c r="O11" s="37">
        <v>136</v>
      </c>
      <c r="R11" s="38" t="s">
        <v>180</v>
      </c>
    </row>
    <row r="12" spans="1:22" ht="12.75">
      <c r="A12" s="31" t="s">
        <v>181</v>
      </c>
      <c r="B12" s="36" t="s">
        <v>182</v>
      </c>
      <c r="C12" s="33"/>
      <c r="D12" s="33"/>
      <c r="E12" s="33"/>
      <c r="F12" s="33"/>
      <c r="G12" s="33"/>
      <c r="H12" s="33"/>
      <c r="I12" s="33">
        <v>10</v>
      </c>
      <c r="J12" s="33"/>
      <c r="K12" s="33"/>
      <c r="L12" s="33">
        <v>5</v>
      </c>
      <c r="M12" s="33"/>
      <c r="N12" s="33"/>
      <c r="O12" s="37">
        <v>15</v>
      </c>
      <c r="R12" s="38" t="s">
        <v>180</v>
      </c>
      <c r="V12" s="19"/>
    </row>
    <row r="13" spans="1:18" ht="12.75">
      <c r="A13" s="31" t="s">
        <v>183</v>
      </c>
      <c r="B13" s="36" t="s">
        <v>184</v>
      </c>
      <c r="C13" s="33"/>
      <c r="D13" s="33"/>
      <c r="E13" s="33"/>
      <c r="F13" s="33"/>
      <c r="G13" s="33"/>
      <c r="H13" s="33"/>
      <c r="I13" s="33">
        <v>3</v>
      </c>
      <c r="J13" s="33"/>
      <c r="K13" s="33"/>
      <c r="L13" s="33"/>
      <c r="M13" s="33"/>
      <c r="N13" s="33"/>
      <c r="O13" s="37">
        <v>3</v>
      </c>
      <c r="R13" s="38" t="s">
        <v>185</v>
      </c>
    </row>
    <row r="14" spans="1:18" ht="12.75">
      <c r="A14" s="31" t="s">
        <v>186</v>
      </c>
      <c r="B14" s="36" t="s">
        <v>173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7">
        <v>0</v>
      </c>
      <c r="R14" s="38" t="s">
        <v>173</v>
      </c>
    </row>
    <row r="15" spans="1:18" ht="12.75">
      <c r="A15" s="31" t="s">
        <v>187</v>
      </c>
      <c r="B15" s="36" t="s">
        <v>173</v>
      </c>
      <c r="C15" s="33">
        <v>2.5</v>
      </c>
      <c r="D15" s="33">
        <v>2</v>
      </c>
      <c r="E15" s="33">
        <v>2</v>
      </c>
      <c r="F15" s="33">
        <v>2</v>
      </c>
      <c r="G15" s="33">
        <v>1.5</v>
      </c>
      <c r="H15" s="33">
        <v>2</v>
      </c>
      <c r="I15" s="33">
        <v>2</v>
      </c>
      <c r="J15" s="33">
        <v>1.5</v>
      </c>
      <c r="K15" s="33">
        <v>2</v>
      </c>
      <c r="L15" s="33">
        <v>1.5</v>
      </c>
      <c r="M15" s="33">
        <v>1.5</v>
      </c>
      <c r="N15" s="33">
        <v>1</v>
      </c>
      <c r="O15" s="37">
        <v>21.5</v>
      </c>
      <c r="R15" s="38" t="s">
        <v>173</v>
      </c>
    </row>
    <row r="16" spans="1:18" ht="12.75">
      <c r="A16" s="31" t="s">
        <v>189</v>
      </c>
      <c r="B16" s="36" t="s">
        <v>173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v>2</v>
      </c>
      <c r="M16" s="33"/>
      <c r="N16" s="33"/>
      <c r="O16" s="37">
        <v>2</v>
      </c>
      <c r="P16">
        <f>SUM(C16:O16)</f>
        <v>4</v>
      </c>
      <c r="R16" s="38" t="s">
        <v>173</v>
      </c>
    </row>
    <row r="17" spans="1:18" ht="12.75">
      <c r="A17" s="31" t="s">
        <v>190</v>
      </c>
      <c r="B17" s="36" t="s">
        <v>168</v>
      </c>
      <c r="C17" s="33"/>
      <c r="D17" s="33"/>
      <c r="E17" s="33"/>
      <c r="F17" s="33"/>
      <c r="G17" s="33">
        <v>200</v>
      </c>
      <c r="H17" s="33"/>
      <c r="I17" s="33"/>
      <c r="J17" s="33"/>
      <c r="K17" s="33"/>
      <c r="L17" s="33"/>
      <c r="M17" s="33"/>
      <c r="N17" s="33"/>
      <c r="O17" s="37">
        <v>200</v>
      </c>
      <c r="R17" s="38" t="s">
        <v>191</v>
      </c>
    </row>
    <row r="18" spans="1:18" ht="12.75">
      <c r="A18" s="31" t="s">
        <v>192</v>
      </c>
      <c r="B18" s="36" t="s">
        <v>168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7">
        <v>0</v>
      </c>
      <c r="R18" s="38" t="s">
        <v>191</v>
      </c>
    </row>
    <row r="19" spans="1:18" ht="12.75">
      <c r="A19" s="31" t="s">
        <v>193</v>
      </c>
      <c r="B19" s="36" t="s">
        <v>168</v>
      </c>
      <c r="C19" s="33">
        <v>420</v>
      </c>
      <c r="D19" s="33">
        <v>320</v>
      </c>
      <c r="E19" s="33">
        <v>340</v>
      </c>
      <c r="F19" s="33">
        <v>320</v>
      </c>
      <c r="G19" s="33">
        <v>320</v>
      </c>
      <c r="H19" s="33">
        <v>310</v>
      </c>
      <c r="I19" s="33">
        <v>300</v>
      </c>
      <c r="J19" s="33">
        <v>310</v>
      </c>
      <c r="K19" s="33">
        <v>320</v>
      </c>
      <c r="L19" s="33">
        <v>430</v>
      </c>
      <c r="M19" s="33">
        <v>370</v>
      </c>
      <c r="N19" s="33">
        <v>180</v>
      </c>
      <c r="O19" s="39">
        <v>3940</v>
      </c>
      <c r="R19" s="38" t="s">
        <v>191</v>
      </c>
    </row>
    <row r="20" spans="1:18" ht="12.75">
      <c r="A20" s="31" t="s">
        <v>194</v>
      </c>
      <c r="B20" s="36" t="s">
        <v>195</v>
      </c>
      <c r="C20" s="33"/>
      <c r="D20" s="33"/>
      <c r="E20" s="33"/>
      <c r="F20" s="33"/>
      <c r="G20" s="33"/>
      <c r="H20" s="33"/>
      <c r="I20" s="33"/>
      <c r="J20" s="33"/>
      <c r="K20" s="33"/>
      <c r="L20" s="33">
        <v>5</v>
      </c>
      <c r="M20" s="33"/>
      <c r="N20" s="33"/>
      <c r="O20" s="37">
        <v>5</v>
      </c>
      <c r="R20" s="38" t="s">
        <v>196</v>
      </c>
    </row>
    <row r="21" spans="1:18" ht="12.75">
      <c r="A21" s="31" t="s">
        <v>197</v>
      </c>
      <c r="B21" s="36" t="s">
        <v>173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7">
        <v>0</v>
      </c>
      <c r="R21" s="38" t="s">
        <v>173</v>
      </c>
    </row>
    <row r="22" spans="1:18" ht="12.75">
      <c r="A22" s="31" t="s">
        <v>198</v>
      </c>
      <c r="B22" s="36" t="s">
        <v>173</v>
      </c>
      <c r="C22" s="33"/>
      <c r="D22" s="33"/>
      <c r="E22" s="33"/>
      <c r="F22" s="33"/>
      <c r="G22" s="33"/>
      <c r="H22" s="33"/>
      <c r="I22" s="33"/>
      <c r="J22" s="33">
        <v>1</v>
      </c>
      <c r="K22" s="33">
        <v>1</v>
      </c>
      <c r="L22" s="33">
        <v>1</v>
      </c>
      <c r="M22" s="33"/>
      <c r="N22" s="33"/>
      <c r="O22" s="37">
        <v>3</v>
      </c>
      <c r="R22" s="38" t="s">
        <v>173</v>
      </c>
    </row>
    <row r="23" spans="1:18" ht="12.75">
      <c r="A23" s="31" t="s">
        <v>199</v>
      </c>
      <c r="B23" s="36" t="s">
        <v>179</v>
      </c>
      <c r="C23" s="33"/>
      <c r="D23" s="33"/>
      <c r="E23" s="33"/>
      <c r="F23" s="33"/>
      <c r="G23" s="33">
        <v>18</v>
      </c>
      <c r="H23" s="33"/>
      <c r="I23" s="33"/>
      <c r="J23" s="33"/>
      <c r="K23" s="33"/>
      <c r="L23" s="33"/>
      <c r="M23" s="33">
        <v>14</v>
      </c>
      <c r="N23" s="33">
        <v>32</v>
      </c>
      <c r="O23" s="37">
        <v>64</v>
      </c>
      <c r="R23" s="38" t="s">
        <v>180</v>
      </c>
    </row>
    <row r="24" spans="1:18" ht="12.75">
      <c r="A24" s="31" t="s">
        <v>200</v>
      </c>
      <c r="B24" s="36" t="s">
        <v>173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>
        <v>0</v>
      </c>
      <c r="R24" s="38" t="s">
        <v>173</v>
      </c>
    </row>
    <row r="25" spans="1:18" ht="12.75">
      <c r="A25" s="31" t="s">
        <v>201</v>
      </c>
      <c r="B25" s="36" t="s">
        <v>173</v>
      </c>
      <c r="C25" s="33"/>
      <c r="D25" s="33"/>
      <c r="E25" s="33"/>
      <c r="F25" s="33"/>
      <c r="G25" s="33">
        <v>0.5</v>
      </c>
      <c r="H25" s="33">
        <v>1.5</v>
      </c>
      <c r="I25" s="33">
        <v>0.6</v>
      </c>
      <c r="J25" s="33">
        <v>1.5</v>
      </c>
      <c r="K25" s="33">
        <v>1</v>
      </c>
      <c r="L25" s="40"/>
      <c r="M25" s="33">
        <v>0.5</v>
      </c>
      <c r="N25" s="33">
        <v>1.5</v>
      </c>
      <c r="O25" s="37">
        <v>7.1</v>
      </c>
      <c r="R25" s="38" t="s">
        <v>173</v>
      </c>
    </row>
    <row r="26" spans="1:18" ht="12.75">
      <c r="A26" s="31" t="s">
        <v>202</v>
      </c>
      <c r="B26" s="36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>
        <v>0</v>
      </c>
      <c r="R26" s="38" t="s">
        <v>173</v>
      </c>
    </row>
    <row r="27" spans="1:18" ht="12.75">
      <c r="A27" s="31" t="s">
        <v>203</v>
      </c>
      <c r="B27" s="36" t="s">
        <v>179</v>
      </c>
      <c r="C27" s="33"/>
      <c r="D27" s="33"/>
      <c r="E27" s="33"/>
      <c r="F27" s="33"/>
      <c r="G27" s="33"/>
      <c r="H27" s="33"/>
      <c r="I27" s="33"/>
      <c r="J27" s="33"/>
      <c r="K27" s="33"/>
      <c r="L27" s="33">
        <v>20</v>
      </c>
      <c r="M27" s="33"/>
      <c r="N27" s="33"/>
      <c r="O27" s="37">
        <v>20</v>
      </c>
      <c r="R27" s="38" t="s">
        <v>180</v>
      </c>
    </row>
    <row r="28" spans="1:18" ht="12.75">
      <c r="A28" s="31" t="s">
        <v>204</v>
      </c>
      <c r="B28" s="36" t="s">
        <v>173</v>
      </c>
      <c r="C28" s="33"/>
      <c r="D28" s="33"/>
      <c r="E28" s="33"/>
      <c r="F28" s="33"/>
      <c r="G28" s="33"/>
      <c r="H28" s="33">
        <v>0.2</v>
      </c>
      <c r="I28" s="33"/>
      <c r="J28" s="33"/>
      <c r="K28" s="33"/>
      <c r="L28" s="33"/>
      <c r="M28" s="33"/>
      <c r="N28" s="33"/>
      <c r="O28" s="37">
        <v>200</v>
      </c>
      <c r="R28" s="38" t="s">
        <v>173</v>
      </c>
    </row>
    <row r="29" spans="1:18" ht="12.75">
      <c r="A29" s="31" t="s">
        <v>205</v>
      </c>
      <c r="B29" s="36" t="s">
        <v>173</v>
      </c>
      <c r="C29" s="33"/>
      <c r="D29" s="33"/>
      <c r="E29" s="33"/>
      <c r="F29" s="33"/>
      <c r="G29" s="33"/>
      <c r="H29" s="33"/>
      <c r="I29" s="33">
        <v>1</v>
      </c>
      <c r="J29" s="33"/>
      <c r="K29" s="33"/>
      <c r="L29" s="33"/>
      <c r="M29" s="33"/>
      <c r="N29" s="33"/>
      <c r="O29" s="37" t="s">
        <v>211</v>
      </c>
      <c r="R29" s="38" t="s">
        <v>173</v>
      </c>
    </row>
    <row r="30" spans="1:18" ht="13.5" thickBot="1">
      <c r="A30" s="31" t="s">
        <v>206</v>
      </c>
      <c r="B30" s="24" t="s">
        <v>168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3">
        <v>1000</v>
      </c>
      <c r="O30" s="37" t="s">
        <v>212</v>
      </c>
      <c r="R30" s="42" t="s">
        <v>191</v>
      </c>
    </row>
    <row r="33" ht="12.75">
      <c r="J33" s="23"/>
    </row>
  </sheetData>
  <sheetProtection/>
  <mergeCells count="5">
    <mergeCell ref="R4:R5"/>
    <mergeCell ref="A1:O3"/>
    <mergeCell ref="A4:A5"/>
    <mergeCell ref="B4:N4"/>
    <mergeCell ref="O4:O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Juvenil</dc:creator>
  <cp:keywords/>
  <dc:description/>
  <cp:lastModifiedBy> </cp:lastModifiedBy>
  <cp:lastPrinted>2009-03-04T18:32:47Z</cp:lastPrinted>
  <dcterms:created xsi:type="dcterms:W3CDTF">2003-04-21T12:37:28Z</dcterms:created>
  <dcterms:modified xsi:type="dcterms:W3CDTF">2009-03-11T08:00:07Z</dcterms:modified>
  <cp:category/>
  <cp:version/>
  <cp:contentType/>
  <cp:contentStatus/>
</cp:coreProperties>
</file>